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January 2016\"/>
    </mc:Choice>
  </mc:AlternateContent>
  <bookViews>
    <workbookView xWindow="0" yWindow="0" windowWidth="28800" windowHeight="13725"/>
  </bookViews>
  <sheets>
    <sheet name="Ed Fund" sheetId="1" r:id="rId1"/>
    <sheet name="O&amp;M Fund" sheetId="2" r:id="rId2"/>
    <sheet name="O&amp;M Rest" sheetId="4" r:id="rId3"/>
    <sheet name="B &amp; I" sheetId="5" r:id="rId4"/>
    <sheet name="Aux" sheetId="6" r:id="rId5"/>
    <sheet name="Rest Purpose" sheetId="7" r:id="rId6"/>
    <sheet name="Working Cash" sheetId="8" r:id="rId7"/>
    <sheet name="Trust &amp; Agency" sheetId="9" r:id="rId8"/>
    <sheet name="Audit " sheetId="10" r:id="rId9"/>
    <sheet name="L, P &amp; S" sheetId="1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1" l="1"/>
  <c r="D18" i="11"/>
  <c r="D22" i="11"/>
  <c r="D21" i="11"/>
  <c r="D20" i="11"/>
  <c r="D18" i="10"/>
  <c r="D17" i="10"/>
  <c r="D24" i="7"/>
  <c r="D19" i="7"/>
  <c r="D18" i="7"/>
  <c r="D22" i="7" l="1"/>
  <c r="D21" i="7"/>
  <c r="D20" i="7"/>
  <c r="D12" i="7"/>
  <c r="D11" i="7"/>
  <c r="D10" i="7"/>
  <c r="D23" i="6"/>
  <c r="D22" i="6"/>
  <c r="D21" i="6"/>
  <c r="D20" i="6"/>
  <c r="D10" i="6"/>
  <c r="D24" i="6"/>
  <c r="D14" i="6"/>
  <c r="D13" i="6"/>
  <c r="D12" i="6"/>
  <c r="D11" i="6"/>
  <c r="G28" i="6"/>
  <c r="D19" i="5"/>
  <c r="D20" i="4"/>
  <c r="D19" i="4"/>
  <c r="D18" i="4"/>
  <c r="D27" i="2"/>
  <c r="D24" i="2"/>
  <c r="D23" i="2"/>
  <c r="D22" i="2"/>
  <c r="D21" i="2"/>
  <c r="D12" i="2"/>
  <c r="D15" i="2"/>
  <c r="D13" i="2"/>
  <c r="D26" i="1"/>
  <c r="D23" i="1"/>
  <c r="D22" i="1"/>
  <c r="D28" i="1"/>
  <c r="D27" i="1"/>
  <c r="D25" i="1"/>
  <c r="D24" i="1"/>
  <c r="D13" i="1"/>
  <c r="D16" i="1"/>
  <c r="H19" i="4" l="1"/>
  <c r="F24" i="11"/>
  <c r="H22" i="11"/>
  <c r="F20" i="11"/>
  <c r="F19" i="11"/>
  <c r="F18" i="11"/>
  <c r="H11" i="11"/>
  <c r="F23" i="11"/>
  <c r="F21" i="11"/>
  <c r="H19" i="11"/>
  <c r="F10" i="11"/>
  <c r="I26" i="11"/>
  <c r="G26" i="11"/>
  <c r="E26" i="11"/>
  <c r="H24" i="11"/>
  <c r="H23" i="11"/>
  <c r="H20" i="11"/>
  <c r="I14" i="11"/>
  <c r="I30" i="11" s="1"/>
  <c r="G14" i="11"/>
  <c r="F12" i="11"/>
  <c r="F11" i="11"/>
  <c r="E14" i="11"/>
  <c r="E30" i="11" s="1"/>
  <c r="D14" i="11"/>
  <c r="H10" i="11"/>
  <c r="F19" i="10"/>
  <c r="H11" i="10"/>
  <c r="D13" i="10"/>
  <c r="I21" i="10"/>
  <c r="G21" i="10"/>
  <c r="E21" i="10"/>
  <c r="H18" i="10"/>
  <c r="H17" i="10"/>
  <c r="I13" i="10"/>
  <c r="I24" i="10" s="1"/>
  <c r="G13" i="10"/>
  <c r="F11" i="10"/>
  <c r="E13" i="10"/>
  <c r="E24" i="10" s="1"/>
  <c r="H10" i="10"/>
  <c r="F10" i="10"/>
  <c r="I21" i="9"/>
  <c r="G21" i="9"/>
  <c r="H19" i="9"/>
  <c r="I12" i="9"/>
  <c r="G12" i="9"/>
  <c r="H10" i="9"/>
  <c r="D12" i="9"/>
  <c r="E23" i="8"/>
  <c r="I12" i="8"/>
  <c r="G12" i="8"/>
  <c r="E12" i="8"/>
  <c r="H10" i="8"/>
  <c r="H18" i="11" l="1"/>
  <c r="F22" i="11"/>
  <c r="G30" i="11"/>
  <c r="H14" i="11"/>
  <c r="F14" i="11"/>
  <c r="D26" i="11"/>
  <c r="H21" i="11"/>
  <c r="D21" i="10"/>
  <c r="D24" i="10" s="1"/>
  <c r="D25" i="10" s="1"/>
  <c r="G24" i="10"/>
  <c r="F13" i="10"/>
  <c r="H13" i="10"/>
  <c r="F18" i="10"/>
  <c r="H19" i="10"/>
  <c r="F17" i="10"/>
  <c r="G26" i="9"/>
  <c r="I26" i="9"/>
  <c r="H12" i="9"/>
  <c r="D21" i="9"/>
  <c r="I23" i="8"/>
  <c r="G23" i="8"/>
  <c r="F10" i="8"/>
  <c r="F24" i="7"/>
  <c r="F22" i="7"/>
  <c r="F21" i="7"/>
  <c r="F20" i="7"/>
  <c r="H12" i="7"/>
  <c r="H10" i="7"/>
  <c r="I26" i="7"/>
  <c r="G26" i="7"/>
  <c r="E26" i="7"/>
  <c r="H24" i="7"/>
  <c r="H21" i="7"/>
  <c r="H20" i="7"/>
  <c r="F18" i="7"/>
  <c r="I14" i="7"/>
  <c r="I32" i="7" s="1"/>
  <c r="G14" i="7"/>
  <c r="E14" i="7"/>
  <c r="E32" i="7" s="1"/>
  <c r="H11" i="7"/>
  <c r="F11" i="7"/>
  <c r="F14" i="6"/>
  <c r="H11" i="6"/>
  <c r="H24" i="6"/>
  <c r="H23" i="6"/>
  <c r="H22" i="6"/>
  <c r="H21" i="6"/>
  <c r="F10" i="6"/>
  <c r="F12" i="6"/>
  <c r="I28" i="6"/>
  <c r="E28" i="6"/>
  <c r="F26" i="6"/>
  <c r="F25" i="6"/>
  <c r="H20" i="6"/>
  <c r="I16" i="6"/>
  <c r="G16" i="6"/>
  <c r="E16" i="6"/>
  <c r="F11" i="5"/>
  <c r="D21" i="5"/>
  <c r="H10" i="5"/>
  <c r="I21" i="5"/>
  <c r="G21" i="5"/>
  <c r="E21" i="5"/>
  <c r="F18" i="5"/>
  <c r="H18" i="5"/>
  <c r="I14" i="5"/>
  <c r="G14" i="5"/>
  <c r="E14" i="5"/>
  <c r="F19" i="4"/>
  <c r="H11" i="4"/>
  <c r="H18" i="4"/>
  <c r="H10" i="4"/>
  <c r="I23" i="4"/>
  <c r="G23" i="4"/>
  <c r="E23" i="4"/>
  <c r="I14" i="4"/>
  <c r="G14" i="4"/>
  <c r="E14" i="4"/>
  <c r="H25" i="1"/>
  <c r="H24" i="1"/>
  <c r="H23" i="1"/>
  <c r="H24" i="2"/>
  <c r="H23" i="2"/>
  <c r="F22" i="2"/>
  <c r="H27" i="2"/>
  <c r="D26" i="2"/>
  <c r="H26" i="2" s="1"/>
  <c r="H21" i="2"/>
  <c r="F15" i="2"/>
  <c r="H12" i="2"/>
  <c r="H11" i="2"/>
  <c r="H10" i="2"/>
  <c r="E34" i="2"/>
  <c r="I29" i="2"/>
  <c r="G29" i="2"/>
  <c r="E29" i="2"/>
  <c r="F26" i="2"/>
  <c r="F25" i="2"/>
  <c r="I17" i="2"/>
  <c r="G17" i="2"/>
  <c r="F14" i="2"/>
  <c r="E17" i="2"/>
  <c r="H13" i="2"/>
  <c r="F10" i="2"/>
  <c r="I35" i="1"/>
  <c r="I30" i="1"/>
  <c r="H22" i="1"/>
  <c r="H28" i="1"/>
  <c r="H27" i="1"/>
  <c r="H26" i="1"/>
  <c r="F21" i="10" l="1"/>
  <c r="H21" i="10"/>
  <c r="F26" i="11"/>
  <c r="H26" i="11"/>
  <c r="D30" i="11"/>
  <c r="D31" i="11" s="1"/>
  <c r="H21" i="9"/>
  <c r="D26" i="9"/>
  <c r="D27" i="9" s="1"/>
  <c r="F12" i="8"/>
  <c r="D23" i="8"/>
  <c r="D24" i="8" s="1"/>
  <c r="F10" i="7"/>
  <c r="D14" i="7"/>
  <c r="F14" i="7" s="1"/>
  <c r="H22" i="7"/>
  <c r="D26" i="7"/>
  <c r="H26" i="7" s="1"/>
  <c r="H18" i="7"/>
  <c r="G32" i="7"/>
  <c r="F12" i="7"/>
  <c r="F19" i="7"/>
  <c r="H19" i="7"/>
  <c r="F11" i="6"/>
  <c r="E34" i="6"/>
  <c r="I34" i="6"/>
  <c r="F22" i="6"/>
  <c r="F23" i="6"/>
  <c r="H12" i="6"/>
  <c r="D16" i="6"/>
  <c r="H16" i="6" s="1"/>
  <c r="H10" i="6"/>
  <c r="G34" i="6"/>
  <c r="F21" i="6"/>
  <c r="F13" i="6"/>
  <c r="H14" i="6"/>
  <c r="F20" i="6"/>
  <c r="F24" i="6"/>
  <c r="D28" i="6"/>
  <c r="H13" i="6"/>
  <c r="H19" i="5"/>
  <c r="H11" i="5"/>
  <c r="E26" i="5"/>
  <c r="F10" i="5"/>
  <c r="D14" i="5"/>
  <c r="H14" i="5" s="1"/>
  <c r="I26" i="5"/>
  <c r="G26" i="5"/>
  <c r="H21" i="5"/>
  <c r="F21" i="5"/>
  <c r="F19" i="5"/>
  <c r="D23" i="4"/>
  <c r="F23" i="4" s="1"/>
  <c r="F11" i="4"/>
  <c r="H20" i="4"/>
  <c r="E28" i="4"/>
  <c r="G28" i="4"/>
  <c r="I28" i="4"/>
  <c r="F10" i="4"/>
  <c r="D14" i="4"/>
  <c r="F20" i="4"/>
  <c r="F21" i="2"/>
  <c r="H15" i="2"/>
  <c r="F12" i="2"/>
  <c r="F11" i="2"/>
  <c r="I34" i="2"/>
  <c r="G34" i="2"/>
  <c r="H22" i="2"/>
  <c r="D29" i="2"/>
  <c r="D17" i="2"/>
  <c r="F24" i="2"/>
  <c r="F13" i="2"/>
  <c r="F23" i="2"/>
  <c r="F27" i="2"/>
  <c r="E30" i="1"/>
  <c r="F28" i="1"/>
  <c r="F27" i="1"/>
  <c r="F26" i="1"/>
  <c r="F25" i="1"/>
  <c r="F24" i="1"/>
  <c r="F23" i="1"/>
  <c r="F22" i="1"/>
  <c r="D30" i="1"/>
  <c r="I18" i="1"/>
  <c r="H16" i="1"/>
  <c r="F16" i="1"/>
  <c r="H15" i="1"/>
  <c r="H14" i="1"/>
  <c r="H13" i="1"/>
  <c r="H12" i="1"/>
  <c r="H11" i="1"/>
  <c r="H10" i="1"/>
  <c r="E18" i="1"/>
  <c r="D18" i="1"/>
  <c r="F18" i="1" s="1"/>
  <c r="F14" i="1"/>
  <c r="F15" i="1"/>
  <c r="E13" i="1"/>
  <c r="F12" i="1"/>
  <c r="F11" i="1"/>
  <c r="F10" i="1"/>
  <c r="G30" i="1"/>
  <c r="G18" i="1"/>
  <c r="G35" i="1" l="1"/>
  <c r="H18" i="1"/>
  <c r="H14" i="7"/>
  <c r="F26" i="7"/>
  <c r="D32" i="7"/>
  <c r="D33" i="7" s="1"/>
  <c r="F16" i="6"/>
  <c r="D34" i="6"/>
  <c r="D35" i="6" s="1"/>
  <c r="F28" i="6"/>
  <c r="H28" i="6"/>
  <c r="F14" i="5"/>
  <c r="D26" i="5"/>
  <c r="D27" i="5" s="1"/>
  <c r="H23" i="4"/>
  <c r="D28" i="4"/>
  <c r="D29" i="4" s="1"/>
  <c r="H14" i="4"/>
  <c r="F14" i="4"/>
  <c r="D35" i="1"/>
  <c r="D36" i="1" s="1"/>
  <c r="H30" i="1"/>
  <c r="H29" i="2"/>
  <c r="F29" i="2"/>
  <c r="F17" i="2"/>
  <c r="D34" i="2"/>
  <c r="D35" i="2" s="1"/>
  <c r="H17" i="2"/>
  <c r="F30" i="1"/>
  <c r="F13" i="1"/>
</calcChain>
</file>

<file path=xl/sharedStrings.xml><?xml version="1.0" encoding="utf-8"?>
<sst xmlns="http://schemas.openxmlformats.org/spreadsheetml/2006/main" count="322" uniqueCount="49">
  <si>
    <t>EDUCATION FUND</t>
  </si>
  <si>
    <t>Revenues</t>
  </si>
  <si>
    <t>Local Governmental Sources</t>
  </si>
  <si>
    <t>State Governmental Sources</t>
  </si>
  <si>
    <t>Federal Governmental Sources</t>
  </si>
  <si>
    <t>Student Tuition and Fees</t>
  </si>
  <si>
    <t>Sales and Service</t>
  </si>
  <si>
    <t>Investment Revenue</t>
  </si>
  <si>
    <t>Other Revenues</t>
  </si>
  <si>
    <t>TOTALS</t>
  </si>
  <si>
    <t>Expenditures</t>
  </si>
  <si>
    <t>Salaries</t>
  </si>
  <si>
    <t>Employee Benefits</t>
  </si>
  <si>
    <t>Contractual Services</t>
  </si>
  <si>
    <t>General Materials &amp; Supplies</t>
  </si>
  <si>
    <t>Conference &amp; Meeting</t>
  </si>
  <si>
    <t>Fixed Charges</t>
  </si>
  <si>
    <t>Other Expenditures</t>
  </si>
  <si>
    <t>Transfers</t>
  </si>
  <si>
    <t>Transfers from Other Funds</t>
  </si>
  <si>
    <t>CHANGES IN NET ASSETS</t>
  </si>
  <si>
    <t>FUND BALANCE</t>
  </si>
  <si>
    <t>2015-2016</t>
  </si>
  <si>
    <t>YTD</t>
  </si>
  <si>
    <t>Budget</t>
  </si>
  <si>
    <t>YTD/</t>
  </si>
  <si>
    <t>Budget %</t>
  </si>
  <si>
    <t>2014-2015</t>
  </si>
  <si>
    <t>YTD % Chng</t>
  </si>
  <si>
    <t>frm Prev Yr</t>
  </si>
  <si>
    <t xml:space="preserve">2014-2015 </t>
  </si>
  <si>
    <t>Total</t>
  </si>
  <si>
    <t>SAUK VALLEY COMMUNITY COLLEGE</t>
  </si>
  <si>
    <t>REVNUES, EXPENDITURES, AND TRANSFERS</t>
  </si>
  <si>
    <t>OPERATION AND MAINTENANCE FUND</t>
  </si>
  <si>
    <t>Facilities Revenue</t>
  </si>
  <si>
    <t>Utilities</t>
  </si>
  <si>
    <t>OPERATION &amp; MAINTENANCE_RESTRICTED</t>
  </si>
  <si>
    <t>Capital Outlay</t>
  </si>
  <si>
    <t>BOND AND INTEREST FUND</t>
  </si>
  <si>
    <t>AUXILIARY ENTERPRISE FUND</t>
  </si>
  <si>
    <t>Transfers to Other Funds</t>
  </si>
  <si>
    <t>RESTRICTED PURPOSES FUND</t>
  </si>
  <si>
    <t>Capital Expenditures</t>
  </si>
  <si>
    <t>WORKING CASH FUND</t>
  </si>
  <si>
    <t>TRUST AND AGENCY FUND</t>
  </si>
  <si>
    <t>AUDIT FUND</t>
  </si>
  <si>
    <t>LIABILITY, PROTECTION &amp; SETTLEMENT</t>
  </si>
  <si>
    <t>AS OF DECEMBER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</si>
</sst>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4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2" fillId="0" borderId="1" xfId="1" applyNumberFormat="1" applyFont="1" applyBorder="1"/>
    <xf numFmtId="165" fontId="2" fillId="0" borderId="0" xfId="2" applyNumberFormat="1" applyFont="1"/>
    <xf numFmtId="165" fontId="2" fillId="0" borderId="1" xfId="2" applyNumberFormat="1" applyFont="1" applyBorder="1"/>
    <xf numFmtId="165" fontId="2" fillId="0" borderId="0" xfId="2" applyNumberFormat="1" applyFont="1" applyBorder="1"/>
    <xf numFmtId="0" fontId="3" fillId="0" borderId="0" xfId="0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>
      <selection activeCell="D27" sqref="D27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0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2</v>
      </c>
      <c r="D10" s="3">
        <v>1931443.38</v>
      </c>
      <c r="E10" s="3">
        <v>3886720</v>
      </c>
      <c r="F10" s="7">
        <f>D10/E10</f>
        <v>0.49693401634282891</v>
      </c>
      <c r="G10" s="3">
        <v>1907117</v>
      </c>
      <c r="H10" s="7">
        <f>(D10-G10)/G10</f>
        <v>1.2755578184243489E-2</v>
      </c>
      <c r="I10" s="3">
        <v>3841579.07</v>
      </c>
    </row>
    <row r="11" spans="1:9" x14ac:dyDescent="0.25">
      <c r="B11" s="2" t="s">
        <v>3</v>
      </c>
      <c r="D11" s="3">
        <v>100604.56</v>
      </c>
      <c r="E11" s="3">
        <v>2183777</v>
      </c>
      <c r="F11" s="7">
        <f t="shared" ref="F11:F18" si="0">D11/E11</f>
        <v>4.6069062912559293E-2</v>
      </c>
      <c r="G11" s="3">
        <v>774563</v>
      </c>
      <c r="H11" s="7">
        <f t="shared" ref="H11:H16" si="1">(D11-G11)/G11</f>
        <v>-0.87011442581171572</v>
      </c>
      <c r="I11" s="3">
        <v>2312767.62</v>
      </c>
    </row>
    <row r="12" spans="1:9" x14ac:dyDescent="0.25">
      <c r="B12" s="2" t="s">
        <v>4</v>
      </c>
      <c r="D12" s="3">
        <v>622</v>
      </c>
      <c r="E12" s="3">
        <v>8464</v>
      </c>
      <c r="F12" s="7">
        <f t="shared" si="0"/>
        <v>7.3487712665406421E-2</v>
      </c>
      <c r="G12" s="3">
        <v>370</v>
      </c>
      <c r="H12" s="7">
        <f t="shared" si="1"/>
        <v>0.68108108108108112</v>
      </c>
      <c r="I12" s="3">
        <v>5484</v>
      </c>
    </row>
    <row r="13" spans="1:9" x14ac:dyDescent="0.25">
      <c r="B13" s="2" t="s">
        <v>5</v>
      </c>
      <c r="D13" s="3">
        <f>4121261.71-128103.04+278.57-5749.4-6875-105-4206-885-3200-294-1356-20-14953.5</f>
        <v>3955793.34</v>
      </c>
      <c r="E13" s="3">
        <f>4360326</f>
        <v>4360326</v>
      </c>
      <c r="F13" s="7">
        <f t="shared" si="0"/>
        <v>0.90722421672141029</v>
      </c>
      <c r="G13" s="3">
        <v>4239890</v>
      </c>
      <c r="H13" s="7">
        <f t="shared" si="1"/>
        <v>-6.7005667599867008E-2</v>
      </c>
      <c r="I13" s="3">
        <v>4476283.79</v>
      </c>
    </row>
    <row r="14" spans="1:9" x14ac:dyDescent="0.25">
      <c r="B14" s="2" t="s">
        <v>6</v>
      </c>
      <c r="D14" s="3">
        <v>103324</v>
      </c>
      <c r="E14" s="3">
        <v>150000</v>
      </c>
      <c r="F14" s="7">
        <f t="shared" si="0"/>
        <v>0.6888266666666667</v>
      </c>
      <c r="G14" s="3">
        <v>57873</v>
      </c>
      <c r="H14" s="7">
        <f t="shared" si="1"/>
        <v>0.78535759335095812</v>
      </c>
      <c r="I14" s="3">
        <v>154844</v>
      </c>
    </row>
    <row r="15" spans="1:9" x14ac:dyDescent="0.25">
      <c r="B15" s="2" t="s">
        <v>7</v>
      </c>
      <c r="D15" s="3">
        <v>1774.32</v>
      </c>
      <c r="E15" s="3">
        <v>5000</v>
      </c>
      <c r="F15" s="7">
        <f t="shared" si="0"/>
        <v>0.35486400000000001</v>
      </c>
      <c r="G15" s="3">
        <v>3567</v>
      </c>
      <c r="H15" s="7">
        <f t="shared" si="1"/>
        <v>-0.50257359125315393</v>
      </c>
      <c r="I15" s="3">
        <v>3125.56</v>
      </c>
    </row>
    <row r="16" spans="1:9" x14ac:dyDescent="0.25">
      <c r="B16" s="2" t="s">
        <v>8</v>
      </c>
      <c r="D16" s="6">
        <f>8271.81-787.07</f>
        <v>7484.74</v>
      </c>
      <c r="E16" s="6">
        <v>2415000</v>
      </c>
      <c r="F16" s="8">
        <f t="shared" si="0"/>
        <v>3.0992712215320911E-3</v>
      </c>
      <c r="G16" s="6">
        <v>6174</v>
      </c>
      <c r="H16" s="8">
        <f t="shared" si="1"/>
        <v>0.21229996760609002</v>
      </c>
      <c r="I16" s="6">
        <v>2914136.95</v>
      </c>
    </row>
    <row r="18" spans="1:9" x14ac:dyDescent="0.25">
      <c r="B18" s="2" t="s">
        <v>9</v>
      </c>
      <c r="D18" s="3">
        <f>SUM(D10:D17)</f>
        <v>6101046.3399999999</v>
      </c>
      <c r="E18" s="3">
        <f t="shared" ref="E18" si="2">SUM(E10:E17)</f>
        <v>13009287</v>
      </c>
      <c r="F18" s="9">
        <f t="shared" si="0"/>
        <v>0.4689762275211547</v>
      </c>
      <c r="G18" s="3">
        <f>SUM(G10:G17)</f>
        <v>6989554</v>
      </c>
      <c r="H18" s="7">
        <f>(D18-G18)/G18</f>
        <v>-0.12711936412537914</v>
      </c>
      <c r="I18" s="3">
        <f>SUM(I10:I17)</f>
        <v>13708220.990000002</v>
      </c>
    </row>
    <row r="20" spans="1:9" x14ac:dyDescent="0.25">
      <c r="A20" s="2" t="s">
        <v>10</v>
      </c>
    </row>
    <row r="22" spans="1:9" x14ac:dyDescent="0.25">
      <c r="B22" s="2" t="s">
        <v>11</v>
      </c>
      <c r="D22" s="3">
        <f>3525251.94-233771.44-3382.79</f>
        <v>3288097.71</v>
      </c>
      <c r="E22" s="3">
        <v>7110996</v>
      </c>
      <c r="F22" s="7">
        <f t="shared" ref="F22:F28" si="3">D22/E22</f>
        <v>0.46239622550765042</v>
      </c>
      <c r="G22" s="3">
        <v>3253442</v>
      </c>
      <c r="H22" s="7">
        <f>(D22-G22)/G22</f>
        <v>1.0652014082316502E-2</v>
      </c>
      <c r="I22" s="3">
        <v>7102365.5300000003</v>
      </c>
    </row>
    <row r="23" spans="1:9" x14ac:dyDescent="0.25">
      <c r="B23" s="2" t="s">
        <v>12</v>
      </c>
      <c r="D23" s="3">
        <f>744550.15-54318.84-4524.81</f>
        <v>685706.5</v>
      </c>
      <c r="E23" s="3">
        <v>3705812</v>
      </c>
      <c r="F23" s="7">
        <f t="shared" si="3"/>
        <v>0.18503542543442572</v>
      </c>
      <c r="G23" s="3">
        <v>631289</v>
      </c>
      <c r="H23" s="7">
        <f t="shared" ref="H23:H28" si="4">(D23-G23)/G23</f>
        <v>8.6200614932305172E-2</v>
      </c>
      <c r="I23" s="3">
        <v>4150292.77</v>
      </c>
    </row>
    <row r="24" spans="1:9" x14ac:dyDescent="0.25">
      <c r="B24" s="2" t="s">
        <v>13</v>
      </c>
      <c r="D24" s="3">
        <f>486601.99-53850.01</f>
        <v>432751.98</v>
      </c>
      <c r="E24" s="3">
        <v>712976</v>
      </c>
      <c r="F24" s="7">
        <f t="shared" si="3"/>
        <v>0.60696570431543273</v>
      </c>
      <c r="G24" s="3">
        <v>462525</v>
      </c>
      <c r="H24" s="7">
        <f t="shared" si="4"/>
        <v>-6.4370617804443045E-2</v>
      </c>
      <c r="I24" s="3">
        <v>721149.64</v>
      </c>
    </row>
    <row r="25" spans="1:9" x14ac:dyDescent="0.25">
      <c r="B25" s="2" t="s">
        <v>14</v>
      </c>
      <c r="D25" s="3">
        <f>320154.39-11998.12</f>
        <v>308156.27</v>
      </c>
      <c r="E25" s="3">
        <v>533330</v>
      </c>
      <c r="F25" s="7">
        <f t="shared" si="3"/>
        <v>0.57779661747885924</v>
      </c>
      <c r="G25" s="3">
        <v>337535</v>
      </c>
      <c r="H25" s="7">
        <f t="shared" si="4"/>
        <v>-8.7039062615728691E-2</v>
      </c>
      <c r="I25" s="3">
        <v>566130.18999999994</v>
      </c>
    </row>
    <row r="26" spans="1:9" x14ac:dyDescent="0.25">
      <c r="B26" s="2" t="s">
        <v>15</v>
      </c>
      <c r="D26" s="3">
        <f>48638.01-2575.82-225.4</f>
        <v>45836.79</v>
      </c>
      <c r="E26" s="3">
        <v>135987.5</v>
      </c>
      <c r="F26" s="7">
        <f t="shared" si="3"/>
        <v>0.33706620093758616</v>
      </c>
      <c r="G26" s="3">
        <v>74343</v>
      </c>
      <c r="H26" s="7">
        <f t="shared" si="4"/>
        <v>-0.38344174972761391</v>
      </c>
      <c r="I26" s="3">
        <v>166975.04999999999</v>
      </c>
    </row>
    <row r="27" spans="1:9" x14ac:dyDescent="0.25">
      <c r="B27" s="2" t="s">
        <v>16</v>
      </c>
      <c r="D27" s="3">
        <f>204.66</f>
        <v>204.66</v>
      </c>
      <c r="E27" s="3">
        <v>1000</v>
      </c>
      <c r="F27" s="7">
        <f t="shared" si="3"/>
        <v>0.20466000000000001</v>
      </c>
      <c r="G27" s="3">
        <v>396</v>
      </c>
      <c r="H27" s="7">
        <f t="shared" si="4"/>
        <v>-0.48318181818181821</v>
      </c>
      <c r="I27" s="3">
        <v>1002.33</v>
      </c>
    </row>
    <row r="28" spans="1:9" x14ac:dyDescent="0.25">
      <c r="B28" s="2" t="s">
        <v>17</v>
      </c>
      <c r="D28" s="6">
        <f>561008.42-4138.21</f>
        <v>556870.21000000008</v>
      </c>
      <c r="E28" s="6">
        <v>1046700</v>
      </c>
      <c r="F28" s="8">
        <f t="shared" si="3"/>
        <v>0.53202465845036795</v>
      </c>
      <c r="G28" s="6">
        <v>740317</v>
      </c>
      <c r="H28" s="8">
        <f t="shared" si="4"/>
        <v>-0.24779491758260302</v>
      </c>
      <c r="I28" s="6">
        <v>977341.41</v>
      </c>
    </row>
    <row r="30" spans="1:9" x14ac:dyDescent="0.25">
      <c r="B30" s="2" t="s">
        <v>9</v>
      </c>
      <c r="D30" s="3">
        <f>SUM(D22:D29)</f>
        <v>5317624.1199999992</v>
      </c>
      <c r="E30" s="3">
        <f>SUM(E22:E29)</f>
        <v>13246801.5</v>
      </c>
      <c r="F30" s="9">
        <f t="shared" ref="F30" si="5">D30/E30</f>
        <v>0.40142702523322321</v>
      </c>
      <c r="G30" s="3">
        <f>SUM(G22:G29)</f>
        <v>5499847</v>
      </c>
      <c r="H30" s="7">
        <f>(D30-G30)/G30</f>
        <v>-3.3132354409131891E-2</v>
      </c>
      <c r="I30" s="3">
        <f>SUM(I22:I29)</f>
        <v>13685256.920000002</v>
      </c>
    </row>
    <row r="32" spans="1:9" x14ac:dyDescent="0.25">
      <c r="A32" s="2" t="s">
        <v>18</v>
      </c>
    </row>
    <row r="33" spans="1:9" x14ac:dyDescent="0.25">
      <c r="B33" s="2" t="s">
        <v>19</v>
      </c>
      <c r="E33" s="3">
        <v>-120000</v>
      </c>
      <c r="I33" s="3">
        <v>-52000</v>
      </c>
    </row>
    <row r="35" spans="1:9" x14ac:dyDescent="0.25">
      <c r="A35" s="2" t="s">
        <v>20</v>
      </c>
      <c r="D35" s="3">
        <f>D18-D30</f>
        <v>783422.22000000067</v>
      </c>
      <c r="E35" s="3">
        <v>-117514</v>
      </c>
      <c r="G35" s="3">
        <f>G18-G30</f>
        <v>1489707</v>
      </c>
      <c r="I35" s="3">
        <f>I18-I30-I33</f>
        <v>74964.070000000298</v>
      </c>
    </row>
    <row r="36" spans="1:9" x14ac:dyDescent="0.25">
      <c r="A36" s="2" t="s">
        <v>21</v>
      </c>
      <c r="D36" s="3">
        <f>8284613.61+D35</f>
        <v>9068035.8300000019</v>
      </c>
      <c r="I36" s="3">
        <v>8284613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F24" sqref="F24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47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2</v>
      </c>
      <c r="D10" s="3">
        <v>193177.46</v>
      </c>
      <c r="E10" s="3">
        <v>417100</v>
      </c>
      <c r="F10" s="7">
        <f>D10/E10</f>
        <v>0.46314423399664345</v>
      </c>
      <c r="G10" s="3">
        <v>29023</v>
      </c>
      <c r="H10" s="7">
        <f>(D10-G10)/G10</f>
        <v>5.6560128174206659</v>
      </c>
      <c r="I10" s="3">
        <v>236463</v>
      </c>
    </row>
    <row r="11" spans="1:9" x14ac:dyDescent="0.25">
      <c r="B11" s="2" t="s">
        <v>7</v>
      </c>
      <c r="D11" s="3">
        <v>63703.61</v>
      </c>
      <c r="E11" s="3">
        <v>101000</v>
      </c>
      <c r="F11" s="7">
        <f t="shared" ref="F11:F14" si="0">D11/E11</f>
        <v>0.63072881188118812</v>
      </c>
      <c r="G11" s="3">
        <v>95352</v>
      </c>
      <c r="H11" s="7">
        <f t="shared" ref="H11" si="1">(D11-G11)/G11</f>
        <v>-0.33191112928936989</v>
      </c>
      <c r="I11" s="3">
        <v>138789</v>
      </c>
    </row>
    <row r="12" spans="1:9" x14ac:dyDescent="0.25">
      <c r="B12" s="2" t="s">
        <v>8</v>
      </c>
      <c r="D12" s="6"/>
      <c r="E12" s="6">
        <v>62000</v>
      </c>
      <c r="F12" s="8">
        <f t="shared" si="0"/>
        <v>0</v>
      </c>
      <c r="G12" s="6"/>
      <c r="H12" s="8"/>
      <c r="I12" s="6">
        <v>80288</v>
      </c>
    </row>
    <row r="14" spans="1:9" x14ac:dyDescent="0.25">
      <c r="B14" s="2" t="s">
        <v>9</v>
      </c>
      <c r="D14" s="3">
        <f>SUM(D10:D13)</f>
        <v>256881.07</v>
      </c>
      <c r="E14" s="3">
        <f>SUM(E10:E13)</f>
        <v>580100</v>
      </c>
      <c r="F14" s="9">
        <f t="shared" si="0"/>
        <v>0.44282204792277197</v>
      </c>
      <c r="G14" s="3">
        <f>SUM(G10:G13)</f>
        <v>124375</v>
      </c>
      <c r="H14" s="7">
        <f>(D14-G14)/G14</f>
        <v>1.0653754371859296</v>
      </c>
      <c r="I14" s="3">
        <f>SUM(I10:I13)</f>
        <v>455540</v>
      </c>
    </row>
    <row r="16" spans="1:9" x14ac:dyDescent="0.25">
      <c r="A16" s="2" t="s">
        <v>10</v>
      </c>
    </row>
    <row r="18" spans="1:9" x14ac:dyDescent="0.25">
      <c r="B18" s="2" t="s">
        <v>11</v>
      </c>
      <c r="D18" s="3">
        <f>104984.59-10683.2</f>
        <v>94301.39</v>
      </c>
      <c r="E18" s="3">
        <v>208203</v>
      </c>
      <c r="F18" s="7">
        <f t="shared" ref="F18:F24" si="2">D18/E18</f>
        <v>0.45293002502365481</v>
      </c>
      <c r="G18" s="3">
        <v>97762</v>
      </c>
      <c r="H18" s="7">
        <f>(D18-G18)/G18</f>
        <v>-3.5398314273439584E-2</v>
      </c>
      <c r="I18" s="3">
        <v>198639</v>
      </c>
    </row>
    <row r="19" spans="1:9" x14ac:dyDescent="0.25">
      <c r="B19" s="2" t="s">
        <v>12</v>
      </c>
      <c r="D19" s="3">
        <f>110184.42-9798.4</f>
        <v>100386.02</v>
      </c>
      <c r="E19" s="3">
        <v>314957</v>
      </c>
      <c r="F19" s="7">
        <f t="shared" si="2"/>
        <v>0.31872928685503099</v>
      </c>
      <c r="G19" s="3">
        <v>115304</v>
      </c>
      <c r="H19" s="7">
        <f t="shared" ref="H19:H24" si="3">(D19-G19)/G19</f>
        <v>-0.12937955318115588</v>
      </c>
      <c r="I19" s="3">
        <v>326190</v>
      </c>
    </row>
    <row r="20" spans="1:9" x14ac:dyDescent="0.25">
      <c r="B20" s="2" t="s">
        <v>13</v>
      </c>
      <c r="D20" s="3">
        <f>17620.58</f>
        <v>17620.580000000002</v>
      </c>
      <c r="E20" s="3">
        <v>43000</v>
      </c>
      <c r="F20" s="7">
        <f t="shared" si="2"/>
        <v>0.40978093023255818</v>
      </c>
      <c r="G20" s="3">
        <v>14029</v>
      </c>
      <c r="H20" s="7">
        <f t="shared" si="3"/>
        <v>0.25601111982322344</v>
      </c>
      <c r="I20" s="3">
        <v>34560</v>
      </c>
    </row>
    <row r="21" spans="1:9" x14ac:dyDescent="0.25">
      <c r="B21" s="2" t="s">
        <v>14</v>
      </c>
      <c r="D21" s="3">
        <f>3223.58</f>
        <v>3223.58</v>
      </c>
      <c r="E21" s="3">
        <v>14695</v>
      </c>
      <c r="F21" s="7">
        <f t="shared" si="2"/>
        <v>0.219365770670296</v>
      </c>
      <c r="G21" s="3">
        <v>5169</v>
      </c>
      <c r="H21" s="7">
        <f t="shared" si="3"/>
        <v>-0.37636293286902689</v>
      </c>
      <c r="I21" s="3">
        <v>12692</v>
      </c>
    </row>
    <row r="22" spans="1:9" x14ac:dyDescent="0.25">
      <c r="B22" s="2" t="s">
        <v>15</v>
      </c>
      <c r="D22" s="3">
        <f>1297.25</f>
        <v>1297.25</v>
      </c>
      <c r="E22" s="3">
        <v>1300</v>
      </c>
      <c r="F22" s="7">
        <f t="shared" si="2"/>
        <v>0.99788461538461537</v>
      </c>
      <c r="G22" s="3">
        <v>129</v>
      </c>
      <c r="H22" s="7">
        <f t="shared" si="3"/>
        <v>9.0562015503875966</v>
      </c>
      <c r="I22" s="3">
        <v>908</v>
      </c>
    </row>
    <row r="23" spans="1:9" x14ac:dyDescent="0.25">
      <c r="B23" s="2" t="s">
        <v>16</v>
      </c>
      <c r="D23" s="3">
        <v>58298</v>
      </c>
      <c r="E23" s="3">
        <v>73219</v>
      </c>
      <c r="F23" s="7">
        <f t="shared" si="2"/>
        <v>0.79621409743372618</v>
      </c>
      <c r="G23" s="3">
        <v>41718</v>
      </c>
      <c r="H23" s="7">
        <f t="shared" si="3"/>
        <v>0.39743036578934754</v>
      </c>
      <c r="I23" s="3">
        <v>47335</v>
      </c>
    </row>
    <row r="24" spans="1:9" x14ac:dyDescent="0.25">
      <c r="B24" s="2" t="s">
        <v>36</v>
      </c>
      <c r="D24" s="6">
        <v>542.22</v>
      </c>
      <c r="E24" s="6">
        <v>1100</v>
      </c>
      <c r="F24" s="8">
        <f t="shared" si="2"/>
        <v>0.49292727272727277</v>
      </c>
      <c r="G24" s="6">
        <v>451</v>
      </c>
      <c r="H24" s="8">
        <f t="shared" si="3"/>
        <v>0.20226164079822623</v>
      </c>
      <c r="I24" s="6">
        <v>1090</v>
      </c>
    </row>
    <row r="26" spans="1:9" x14ac:dyDescent="0.25">
      <c r="B26" s="2" t="s">
        <v>9</v>
      </c>
      <c r="D26" s="3">
        <f>SUM(D18:D25)</f>
        <v>275669.03999999992</v>
      </c>
      <c r="E26" s="3">
        <f>SUM(E18:E25)</f>
        <v>656474</v>
      </c>
      <c r="F26" s="9">
        <f t="shared" ref="F26" si="4">D26/E26</f>
        <v>0.41992377458970181</v>
      </c>
      <c r="G26" s="3">
        <f>SUM(G18:G25)</f>
        <v>274562</v>
      </c>
      <c r="H26" s="7">
        <f>(D26-G26)/G26</f>
        <v>4.0320219112620131E-3</v>
      </c>
      <c r="I26" s="3">
        <f>SUM(I18:I25)</f>
        <v>621414</v>
      </c>
    </row>
    <row r="28" spans="1:9" x14ac:dyDescent="0.25">
      <c r="A28" s="2" t="s">
        <v>18</v>
      </c>
    </row>
    <row r="30" spans="1:9" x14ac:dyDescent="0.25">
      <c r="A30" s="2" t="s">
        <v>20</v>
      </c>
      <c r="D30" s="3">
        <f>D14-D26</f>
        <v>-18787.969999999914</v>
      </c>
      <c r="E30" s="3">
        <f>E14-E26</f>
        <v>-76374</v>
      </c>
      <c r="G30" s="3">
        <f>G14-G26</f>
        <v>-150187</v>
      </c>
      <c r="I30" s="3">
        <f>I14-I26</f>
        <v>-165874</v>
      </c>
    </row>
    <row r="31" spans="1:9" x14ac:dyDescent="0.25">
      <c r="A31" s="2" t="s">
        <v>21</v>
      </c>
      <c r="D31" s="3">
        <f>4355779+D30</f>
        <v>4336991.03</v>
      </c>
      <c r="I31" s="3">
        <v>4355779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D28" sqref="D28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34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2</v>
      </c>
      <c r="D10" s="3">
        <v>236404.54</v>
      </c>
      <c r="E10" s="3">
        <v>475925</v>
      </c>
      <c r="F10" s="7">
        <f>D10/E10</f>
        <v>0.49672645900089302</v>
      </c>
      <c r="G10" s="3">
        <v>233663</v>
      </c>
      <c r="H10" s="7">
        <f>(D10-G10)/G10</f>
        <v>1.1732880259176712E-2</v>
      </c>
      <c r="I10" s="3">
        <v>470535</v>
      </c>
    </row>
    <row r="11" spans="1:9" x14ac:dyDescent="0.25">
      <c r="B11" s="2" t="s">
        <v>3</v>
      </c>
      <c r="D11" s="3">
        <v>12433.14</v>
      </c>
      <c r="E11" s="3">
        <v>262934</v>
      </c>
      <c r="F11" s="7">
        <f t="shared" ref="F11:F17" si="0">D11/E11</f>
        <v>4.7286163067537856E-2</v>
      </c>
      <c r="G11" s="3">
        <v>88809</v>
      </c>
      <c r="H11" s="7">
        <f t="shared" ref="H11:H15" si="1">(D11-G11)/G11</f>
        <v>-0.86000135121440391</v>
      </c>
      <c r="I11" s="3">
        <v>271344</v>
      </c>
    </row>
    <row r="12" spans="1:9" x14ac:dyDescent="0.25">
      <c r="B12" s="2" t="s">
        <v>5</v>
      </c>
      <c r="D12" s="3">
        <f>455602.12-16509.13</f>
        <v>439092.99</v>
      </c>
      <c r="E12" s="3">
        <v>470903</v>
      </c>
      <c r="F12" s="7">
        <f t="shared" si="0"/>
        <v>0.93244891198399671</v>
      </c>
      <c r="G12" s="3">
        <v>469431</v>
      </c>
      <c r="H12" s="7">
        <f t="shared" si="1"/>
        <v>-6.4627197607316111E-2</v>
      </c>
      <c r="I12" s="3">
        <v>488570</v>
      </c>
    </row>
    <row r="13" spans="1:9" x14ac:dyDescent="0.25">
      <c r="B13" s="2" t="s">
        <v>35</v>
      </c>
      <c r="D13" s="3">
        <f>4421.97</f>
        <v>4421.97</v>
      </c>
      <c r="E13" s="3">
        <v>6000</v>
      </c>
      <c r="F13" s="7">
        <f t="shared" si="0"/>
        <v>0.73699500000000007</v>
      </c>
      <c r="G13" s="3">
        <v>1635</v>
      </c>
      <c r="H13" s="7">
        <f t="shared" si="1"/>
        <v>1.7045688073394496</v>
      </c>
      <c r="I13" s="3">
        <v>15825</v>
      </c>
    </row>
    <row r="14" spans="1:9" x14ac:dyDescent="0.25">
      <c r="B14" s="2" t="s">
        <v>7</v>
      </c>
      <c r="D14" s="3">
        <v>4.75</v>
      </c>
      <c r="E14" s="3">
        <v>100</v>
      </c>
      <c r="F14" s="7">
        <f t="shared" si="0"/>
        <v>4.7500000000000001E-2</v>
      </c>
      <c r="G14" s="3">
        <v>34</v>
      </c>
      <c r="H14" s="7"/>
      <c r="I14" s="3">
        <v>60</v>
      </c>
    </row>
    <row r="15" spans="1:9" x14ac:dyDescent="0.25">
      <c r="B15" s="2" t="s">
        <v>8</v>
      </c>
      <c r="D15" s="6">
        <f>3311.14</f>
        <v>3311.14</v>
      </c>
      <c r="E15" s="6">
        <v>210000</v>
      </c>
      <c r="F15" s="8">
        <f t="shared" si="0"/>
        <v>1.5767333333333331E-2</v>
      </c>
      <c r="G15" s="6">
        <v>7927</v>
      </c>
      <c r="H15" s="8">
        <f t="shared" si="1"/>
        <v>-0.58229595054875749</v>
      </c>
      <c r="I15" s="6">
        <v>242990</v>
      </c>
    </row>
    <row r="17" spans="1:9" x14ac:dyDescent="0.25">
      <c r="B17" s="2" t="s">
        <v>9</v>
      </c>
      <c r="D17" s="3">
        <f>SUM(D10:D16)</f>
        <v>695668.52999999991</v>
      </c>
      <c r="E17" s="3">
        <f>SUM(E10:E16)</f>
        <v>1425862</v>
      </c>
      <c r="F17" s="9">
        <f t="shared" si="0"/>
        <v>0.48789330945070414</v>
      </c>
      <c r="G17" s="3">
        <f>SUM(G10:G16)</f>
        <v>801499</v>
      </c>
      <c r="H17" s="7">
        <f>(D17-G17)/G17</f>
        <v>-0.13204067628281518</v>
      </c>
      <c r="I17" s="3">
        <f>SUM(I10:I16)</f>
        <v>1489324</v>
      </c>
    </row>
    <row r="19" spans="1:9" x14ac:dyDescent="0.25">
      <c r="A19" s="2" t="s">
        <v>10</v>
      </c>
    </row>
    <row r="21" spans="1:9" x14ac:dyDescent="0.25">
      <c r="B21" s="2" t="s">
        <v>11</v>
      </c>
      <c r="D21" s="3">
        <f>294489.27-24462.19</f>
        <v>270027.08</v>
      </c>
      <c r="E21" s="3">
        <v>558628</v>
      </c>
      <c r="F21" s="7">
        <f t="shared" ref="F21:F27" si="2">D21/E21</f>
        <v>0.48337548422205834</v>
      </c>
      <c r="G21" s="3">
        <v>270000</v>
      </c>
      <c r="H21" s="7">
        <f>(D21-G21)/G21</f>
        <v>1.0029629629635666E-4</v>
      </c>
      <c r="I21" s="3">
        <v>548233</v>
      </c>
    </row>
    <row r="22" spans="1:9" x14ac:dyDescent="0.25">
      <c r="B22" s="2" t="s">
        <v>12</v>
      </c>
      <c r="D22" s="3">
        <f>112249.46-8595.94</f>
        <v>103653.52</v>
      </c>
      <c r="E22" s="3">
        <v>407299</v>
      </c>
      <c r="F22" s="7">
        <f t="shared" si="2"/>
        <v>0.25448999383745113</v>
      </c>
      <c r="G22" s="3">
        <v>75353</v>
      </c>
      <c r="H22" s="7">
        <f t="shared" ref="H22:H27" si="3">(D22-G22)/G22</f>
        <v>0.37557257176223913</v>
      </c>
      <c r="I22" s="3">
        <v>376519</v>
      </c>
    </row>
    <row r="23" spans="1:9" x14ac:dyDescent="0.25">
      <c r="B23" s="2" t="s">
        <v>13</v>
      </c>
      <c r="D23" s="3">
        <f>29890.56-201</f>
        <v>29689.56</v>
      </c>
      <c r="E23" s="3">
        <v>69850</v>
      </c>
      <c r="F23" s="7">
        <f t="shared" si="2"/>
        <v>0.4250473872584109</v>
      </c>
      <c r="G23" s="3">
        <v>24199</v>
      </c>
      <c r="H23" s="7">
        <f t="shared" si="3"/>
        <v>0.2268920203314187</v>
      </c>
      <c r="I23" s="3">
        <v>69704</v>
      </c>
    </row>
    <row r="24" spans="1:9" x14ac:dyDescent="0.25">
      <c r="B24" s="2" t="s">
        <v>14</v>
      </c>
      <c r="D24" s="3">
        <f>22754.99-484.98</f>
        <v>22270.010000000002</v>
      </c>
      <c r="E24" s="3">
        <v>90800</v>
      </c>
      <c r="F24" s="7">
        <f t="shared" si="2"/>
        <v>0.24526442731277534</v>
      </c>
      <c r="G24" s="3">
        <v>54848</v>
      </c>
      <c r="H24" s="7">
        <f t="shared" si="3"/>
        <v>-0.59396860414235697</v>
      </c>
      <c r="I24" s="3">
        <v>95595</v>
      </c>
    </row>
    <row r="25" spans="1:9" x14ac:dyDescent="0.25">
      <c r="B25" s="2" t="s">
        <v>15</v>
      </c>
      <c r="E25" s="3">
        <v>1500</v>
      </c>
      <c r="F25" s="7">
        <f t="shared" si="2"/>
        <v>0</v>
      </c>
      <c r="H25" s="7"/>
      <c r="I25" s="3">
        <v>293</v>
      </c>
    </row>
    <row r="26" spans="1:9" x14ac:dyDescent="0.25">
      <c r="B26" s="2" t="s">
        <v>16</v>
      </c>
      <c r="D26" s="3">
        <f>35324</f>
        <v>35324</v>
      </c>
      <c r="E26" s="3">
        <v>35324</v>
      </c>
      <c r="F26" s="7">
        <f t="shared" si="2"/>
        <v>1</v>
      </c>
      <c r="G26" s="3">
        <v>40021</v>
      </c>
      <c r="H26" s="7">
        <f t="shared" si="3"/>
        <v>-0.11736338422328278</v>
      </c>
      <c r="I26" s="3">
        <v>40104</v>
      </c>
    </row>
    <row r="27" spans="1:9" x14ac:dyDescent="0.25">
      <c r="B27" s="2" t="s">
        <v>36</v>
      </c>
      <c r="D27" s="6">
        <f>200207.58-20046.63-425-3419.47</f>
        <v>176316.47999999998</v>
      </c>
      <c r="E27" s="6">
        <v>522700</v>
      </c>
      <c r="F27" s="8">
        <f t="shared" si="2"/>
        <v>0.33731869140998655</v>
      </c>
      <c r="G27" s="6">
        <v>196160</v>
      </c>
      <c r="H27" s="8">
        <f t="shared" si="3"/>
        <v>-0.10115986949429047</v>
      </c>
      <c r="I27" s="6">
        <v>459144</v>
      </c>
    </row>
    <row r="29" spans="1:9" x14ac:dyDescent="0.25">
      <c r="B29" s="2" t="s">
        <v>9</v>
      </c>
      <c r="D29" s="3">
        <f>SUM(D21:D28)</f>
        <v>637280.65</v>
      </c>
      <c r="E29" s="3">
        <f>SUM(E21:E28)</f>
        <v>1686101</v>
      </c>
      <c r="F29" s="9">
        <f t="shared" ref="F29" si="4">D29/E29</f>
        <v>0.37796113637320661</v>
      </c>
      <c r="G29" s="3">
        <f>SUM(G21:G28)</f>
        <v>660581</v>
      </c>
      <c r="H29" s="7">
        <f>(D29-G29)/G29</f>
        <v>-3.527251010852564E-2</v>
      </c>
      <c r="I29" s="3">
        <f>SUM(I21:I28)</f>
        <v>1589592</v>
      </c>
    </row>
    <row r="31" spans="1:9" x14ac:dyDescent="0.25">
      <c r="A31" s="2" t="s">
        <v>18</v>
      </c>
    </row>
    <row r="32" spans="1:9" x14ac:dyDescent="0.25">
      <c r="B32" s="2" t="s">
        <v>19</v>
      </c>
      <c r="E32" s="3">
        <v>-74900</v>
      </c>
      <c r="I32" s="3">
        <v>-125500</v>
      </c>
    </row>
    <row r="34" spans="1:9" x14ac:dyDescent="0.25">
      <c r="A34" s="2" t="s">
        <v>20</v>
      </c>
      <c r="D34" s="3">
        <f>D17-D29</f>
        <v>58387.879999999888</v>
      </c>
      <c r="E34" s="3">
        <f>E17-E29-E32</f>
        <v>-185339</v>
      </c>
      <c r="G34" s="3">
        <f>G17-G29</f>
        <v>140918</v>
      </c>
      <c r="I34" s="3">
        <f>I17-I29-I32</f>
        <v>25232</v>
      </c>
    </row>
    <row r="35" spans="1:9" x14ac:dyDescent="0.25">
      <c r="A35" s="2" t="s">
        <v>21</v>
      </c>
      <c r="D35" s="3">
        <f>29770+D34</f>
        <v>88157.879999999888</v>
      </c>
      <c r="I35" s="3">
        <v>29770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G21" sqref="G21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37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2</v>
      </c>
      <c r="D10" s="3">
        <v>393991.99</v>
      </c>
      <c r="E10" s="3">
        <v>793000</v>
      </c>
      <c r="F10" s="7">
        <f>D10/E10</f>
        <v>0.49683731399747794</v>
      </c>
      <c r="G10" s="3">
        <v>4399415</v>
      </c>
      <c r="H10" s="7">
        <f>(D10-G10)/G10</f>
        <v>-0.91044445909285665</v>
      </c>
      <c r="I10" s="3">
        <v>4794203</v>
      </c>
    </row>
    <row r="11" spans="1:9" x14ac:dyDescent="0.25">
      <c r="B11" s="2" t="s">
        <v>7</v>
      </c>
      <c r="D11" s="3">
        <v>3526.3</v>
      </c>
      <c r="E11" s="3">
        <v>20000</v>
      </c>
      <c r="F11" s="7">
        <f t="shared" ref="F11:F14" si="0">D11/E11</f>
        <v>0.176315</v>
      </c>
      <c r="G11" s="3">
        <v>3014</v>
      </c>
      <c r="H11" s="7">
        <f t="shared" ref="H11" si="1">(D11-G11)/G11</f>
        <v>0.16997345719973464</v>
      </c>
      <c r="I11" s="3">
        <v>42572</v>
      </c>
    </row>
    <row r="12" spans="1:9" x14ac:dyDescent="0.25">
      <c r="B12" s="2" t="s">
        <v>8</v>
      </c>
      <c r="D12" s="6">
        <v>449.73</v>
      </c>
      <c r="E12" s="6"/>
      <c r="F12" s="8"/>
      <c r="G12" s="6"/>
      <c r="H12" s="8">
        <v>0</v>
      </c>
      <c r="I12" s="6">
        <v>30495</v>
      </c>
    </row>
    <row r="14" spans="1:9" x14ac:dyDescent="0.25">
      <c r="B14" s="2" t="s">
        <v>9</v>
      </c>
      <c r="D14" s="3">
        <f>SUM(D10:D13)</f>
        <v>397968.01999999996</v>
      </c>
      <c r="E14" s="3">
        <f>SUM(E10:E13)</f>
        <v>813000</v>
      </c>
      <c r="F14" s="9">
        <f t="shared" si="0"/>
        <v>0.4895055596555965</v>
      </c>
      <c r="G14" s="3">
        <f>SUM(G10:G13)</f>
        <v>4402429</v>
      </c>
      <c r="H14" s="7">
        <f>(D14-G14)/G14</f>
        <v>-0.90960262618658927</v>
      </c>
      <c r="I14" s="3">
        <f>SUM(I10:I13)</f>
        <v>4867270</v>
      </c>
    </row>
    <row r="16" spans="1:9" x14ac:dyDescent="0.25">
      <c r="A16" s="2" t="s">
        <v>10</v>
      </c>
    </row>
    <row r="18" spans="1:9" x14ac:dyDescent="0.25">
      <c r="B18" s="2" t="s">
        <v>13</v>
      </c>
      <c r="D18" s="3">
        <f>6193.77-4337.5</f>
        <v>1856.2700000000004</v>
      </c>
      <c r="F18" s="7"/>
      <c r="G18" s="3">
        <v>10000</v>
      </c>
      <c r="H18" s="7">
        <f t="shared" ref="H18:H20" si="2">(D18-G18)/G18</f>
        <v>-0.8143729999999999</v>
      </c>
      <c r="I18" s="3">
        <v>10000</v>
      </c>
    </row>
    <row r="19" spans="1:9" x14ac:dyDescent="0.25">
      <c r="B19" s="2" t="s">
        <v>14</v>
      </c>
      <c r="D19" s="3">
        <f>284521.68-60903.89</f>
        <v>223617.78999999998</v>
      </c>
      <c r="E19" s="3">
        <v>247301</v>
      </c>
      <c r="F19" s="7">
        <f t="shared" ref="F19:F20" si="3">D19/E19</f>
        <v>0.9042332622997884</v>
      </c>
      <c r="G19" s="3">
        <v>74384</v>
      </c>
      <c r="H19" s="7">
        <f t="shared" si="2"/>
        <v>2.0062619649386964</v>
      </c>
      <c r="I19" s="3">
        <v>225708</v>
      </c>
    </row>
    <row r="20" spans="1:9" x14ac:dyDescent="0.25">
      <c r="B20" s="2" t="s">
        <v>38</v>
      </c>
      <c r="D20" s="3">
        <f>1618650-47721.6-160065.89</f>
        <v>1410862.5099999998</v>
      </c>
      <c r="E20" s="3">
        <v>2996113</v>
      </c>
      <c r="F20" s="7">
        <f t="shared" si="3"/>
        <v>0.47089762969554211</v>
      </c>
      <c r="G20" s="3">
        <v>363323</v>
      </c>
      <c r="H20" s="7">
        <f t="shared" si="2"/>
        <v>2.8832182658405876</v>
      </c>
      <c r="I20" s="3">
        <v>1263091</v>
      </c>
    </row>
    <row r="21" spans="1:9" x14ac:dyDescent="0.25">
      <c r="B21" s="2" t="s">
        <v>17</v>
      </c>
      <c r="D21" s="6"/>
      <c r="E21" s="6"/>
      <c r="F21" s="8"/>
      <c r="G21" s="6"/>
      <c r="H21" s="8"/>
      <c r="I21" s="6">
        <v>25</v>
      </c>
    </row>
    <row r="23" spans="1:9" x14ac:dyDescent="0.25">
      <c r="B23" s="2" t="s">
        <v>9</v>
      </c>
      <c r="D23" s="3">
        <f>SUM(D18:D22)</f>
        <v>1636336.5699999998</v>
      </c>
      <c r="E23" s="3">
        <f>SUM(E18:E22)</f>
        <v>3243414</v>
      </c>
      <c r="F23" s="9">
        <f t="shared" ref="F23" si="4">D23/E23</f>
        <v>0.50451054660305461</v>
      </c>
      <c r="G23" s="3">
        <f>SUM(G18:G22)</f>
        <v>447707</v>
      </c>
      <c r="H23" s="7">
        <f>(D23-G23)/G23</f>
        <v>2.6549273743765451</v>
      </c>
      <c r="I23" s="3">
        <f>SUM(I18:I22)</f>
        <v>1498824</v>
      </c>
    </row>
    <row r="25" spans="1:9" x14ac:dyDescent="0.25">
      <c r="A25" s="2" t="s">
        <v>18</v>
      </c>
    </row>
    <row r="26" spans="1:9" x14ac:dyDescent="0.25">
      <c r="B26" s="2" t="s">
        <v>19</v>
      </c>
      <c r="I26" s="3">
        <v>-3540</v>
      </c>
    </row>
    <row r="28" spans="1:9" x14ac:dyDescent="0.25">
      <c r="A28" s="2" t="s">
        <v>20</v>
      </c>
      <c r="D28" s="3">
        <f>D14-D23</f>
        <v>-1238368.5499999998</v>
      </c>
      <c r="E28" s="3">
        <f>E14-E23-E26</f>
        <v>-2430414</v>
      </c>
      <c r="G28" s="3">
        <f>G14-G23</f>
        <v>3954722</v>
      </c>
      <c r="I28" s="3">
        <f>I14-I23-I26</f>
        <v>3371986</v>
      </c>
    </row>
    <row r="29" spans="1:9" x14ac:dyDescent="0.25">
      <c r="A29" s="2" t="s">
        <v>21</v>
      </c>
      <c r="D29" s="3">
        <f>6050816+D28</f>
        <v>4812447.45</v>
      </c>
      <c r="I29" s="3">
        <v>6050816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A19" sqref="A19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39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2</v>
      </c>
      <c r="D10" s="3">
        <v>590205.78</v>
      </c>
      <c r="E10" s="3">
        <v>1089826</v>
      </c>
      <c r="F10" s="7">
        <f>D10/E10</f>
        <v>0.54155964346602126</v>
      </c>
      <c r="G10" s="3">
        <v>755429</v>
      </c>
      <c r="H10" s="7">
        <f>(D10-G10)/G10</f>
        <v>-0.21871442584279921</v>
      </c>
      <c r="I10" s="3">
        <v>5210138</v>
      </c>
    </row>
    <row r="11" spans="1:9" x14ac:dyDescent="0.25">
      <c r="B11" s="2" t="s">
        <v>7</v>
      </c>
      <c r="D11" s="3">
        <v>681.64</v>
      </c>
      <c r="E11" s="3">
        <v>1500</v>
      </c>
      <c r="F11" s="7">
        <f t="shared" ref="F11:F14" si="0">D11/E11</f>
        <v>0.45442666666666665</v>
      </c>
      <c r="G11" s="3">
        <v>1141</v>
      </c>
      <c r="H11" s="7">
        <f t="shared" ref="H11" si="1">(D11-G11)/G11</f>
        <v>-0.40259421560035058</v>
      </c>
      <c r="I11" s="3">
        <v>1239</v>
      </c>
    </row>
    <row r="12" spans="1:9" x14ac:dyDescent="0.25">
      <c r="B12" s="2" t="s">
        <v>8</v>
      </c>
      <c r="D12" s="6"/>
      <c r="E12" s="6"/>
      <c r="F12" s="8"/>
      <c r="G12" s="6"/>
      <c r="H12" s="8"/>
      <c r="I12" s="6">
        <v>230870</v>
      </c>
    </row>
    <row r="14" spans="1:9" x14ac:dyDescent="0.25">
      <c r="B14" s="2" t="s">
        <v>9</v>
      </c>
      <c r="D14" s="3">
        <f>SUM(D10:D13)</f>
        <v>590887.42000000004</v>
      </c>
      <c r="E14" s="3">
        <f>SUM(E10:E13)</f>
        <v>1091326</v>
      </c>
      <c r="F14" s="9">
        <f t="shared" si="0"/>
        <v>0.54143988139199473</v>
      </c>
      <c r="G14" s="3">
        <f>SUM(G10:G13)</f>
        <v>756570</v>
      </c>
      <c r="H14" s="7">
        <f>(D14-G14)/G14</f>
        <v>-0.2189917390327398</v>
      </c>
      <c r="I14" s="3">
        <f>SUM(I10:I13)</f>
        <v>5442247</v>
      </c>
    </row>
    <row r="16" spans="1:9" x14ac:dyDescent="0.25">
      <c r="A16" s="2" t="s">
        <v>10</v>
      </c>
    </row>
    <row r="18" spans="1:9" x14ac:dyDescent="0.25">
      <c r="B18" s="2" t="s">
        <v>13</v>
      </c>
      <c r="D18" s="3">
        <v>750</v>
      </c>
      <c r="E18" s="3">
        <v>850</v>
      </c>
      <c r="F18" s="7">
        <f t="shared" ref="F18:F19" si="2">D18/E18</f>
        <v>0.88235294117647056</v>
      </c>
      <c r="G18" s="3">
        <v>802</v>
      </c>
      <c r="H18" s="7">
        <f t="shared" ref="H18:H19" si="3">(D18-G18)/G18</f>
        <v>-6.4837905236907731E-2</v>
      </c>
      <c r="I18" s="3">
        <v>81933</v>
      </c>
    </row>
    <row r="19" spans="1:9" x14ac:dyDescent="0.25">
      <c r="B19" s="2" t="s">
        <v>16</v>
      </c>
      <c r="D19" s="6">
        <f>975000+158102.51-975000-58275-14625</f>
        <v>85202.510000000009</v>
      </c>
      <c r="E19" s="6">
        <v>1050876</v>
      </c>
      <c r="F19" s="8">
        <f t="shared" si="2"/>
        <v>8.1077605730837901E-2</v>
      </c>
      <c r="G19" s="6">
        <v>35775</v>
      </c>
      <c r="H19" s="8">
        <f t="shared" si="3"/>
        <v>1.3816215234102029</v>
      </c>
      <c r="I19" s="6">
        <v>5583750</v>
      </c>
    </row>
    <row r="21" spans="1:9" x14ac:dyDescent="0.25">
      <c r="B21" s="2" t="s">
        <v>9</v>
      </c>
      <c r="D21" s="3">
        <f>SUM(D18:D20)</f>
        <v>85952.510000000009</v>
      </c>
      <c r="E21" s="3">
        <f>SUM(E18:E20)</f>
        <v>1051726</v>
      </c>
      <c r="F21" s="9">
        <f t="shared" ref="F21" si="4">D21/E21</f>
        <v>8.1725192683265419E-2</v>
      </c>
      <c r="G21" s="3">
        <f>SUM(G18:G20)</f>
        <v>36577</v>
      </c>
      <c r="H21" s="7">
        <f>(D21-G21)/G21</f>
        <v>1.3499059518276515</v>
      </c>
      <c r="I21" s="3">
        <f>SUM(I18:I20)</f>
        <v>5665683</v>
      </c>
    </row>
    <row r="23" spans="1:9" x14ac:dyDescent="0.25">
      <c r="A23" s="2" t="s">
        <v>18</v>
      </c>
    </row>
    <row r="24" spans="1:9" x14ac:dyDescent="0.25">
      <c r="B24" s="2" t="s">
        <v>19</v>
      </c>
      <c r="I24" s="3">
        <v>3540</v>
      </c>
    </row>
    <row r="26" spans="1:9" x14ac:dyDescent="0.25">
      <c r="A26" s="2" t="s">
        <v>20</v>
      </c>
      <c r="D26" s="3">
        <f>D14-D21</f>
        <v>504934.91000000003</v>
      </c>
      <c r="E26" s="3">
        <f>E14-E21</f>
        <v>39600</v>
      </c>
      <c r="G26" s="3">
        <f>G14-G21</f>
        <v>719993</v>
      </c>
      <c r="I26" s="3">
        <f>I14-I21-I24</f>
        <v>-226976</v>
      </c>
    </row>
    <row r="27" spans="1:9" x14ac:dyDescent="0.25">
      <c r="A27" s="2" t="s">
        <v>21</v>
      </c>
      <c r="D27" s="3">
        <f>776435+D26</f>
        <v>1281369.9100000001</v>
      </c>
      <c r="I27" s="3">
        <v>776435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D24" sqref="D24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40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5</v>
      </c>
      <c r="D10" s="3">
        <f>216217.8-8412</f>
        <v>207805.8</v>
      </c>
      <c r="E10" s="3">
        <v>227197</v>
      </c>
      <c r="F10" s="7">
        <f>D10/E10</f>
        <v>0.91465028147378702</v>
      </c>
      <c r="G10" s="3">
        <v>212920</v>
      </c>
      <c r="H10" s="7">
        <f>(D10-G10)/G10</f>
        <v>-2.4019349990606856E-2</v>
      </c>
      <c r="I10" s="3">
        <v>222070</v>
      </c>
    </row>
    <row r="11" spans="1:9" x14ac:dyDescent="0.25">
      <c r="B11" s="2" t="s">
        <v>6</v>
      </c>
      <c r="D11" s="3">
        <f>2693+12975.02</f>
        <v>15668.02</v>
      </c>
      <c r="E11" s="3">
        <v>42400</v>
      </c>
      <c r="F11" s="7">
        <f t="shared" ref="F11:F16" si="0">D11/E11</f>
        <v>0.36952877358490566</v>
      </c>
      <c r="G11" s="3">
        <v>20609</v>
      </c>
      <c r="H11" s="7">
        <f t="shared" ref="H11:H14" si="1">(D11-G11)/G11</f>
        <v>-0.23974865350089763</v>
      </c>
      <c r="I11" s="3">
        <v>43891</v>
      </c>
    </row>
    <row r="12" spans="1:9" x14ac:dyDescent="0.25">
      <c r="B12" s="2" t="s">
        <v>35</v>
      </c>
      <c r="D12" s="3">
        <f>41974.33</f>
        <v>41974.33</v>
      </c>
      <c r="E12" s="3">
        <v>80000</v>
      </c>
      <c r="F12" s="7">
        <f t="shared" si="0"/>
        <v>0.52467912500000002</v>
      </c>
      <c r="G12" s="3">
        <v>46056</v>
      </c>
      <c r="H12" s="7">
        <f t="shared" si="1"/>
        <v>-8.8624066354003786E-2</v>
      </c>
      <c r="I12" s="3">
        <v>74998</v>
      </c>
    </row>
    <row r="13" spans="1:9" x14ac:dyDescent="0.25">
      <c r="B13" s="2" t="s">
        <v>7</v>
      </c>
      <c r="D13" s="3">
        <f>1911.11</f>
        <v>1911.11</v>
      </c>
      <c r="E13" s="3">
        <v>2000</v>
      </c>
      <c r="F13" s="7">
        <f t="shared" si="0"/>
        <v>0.95555499999999993</v>
      </c>
      <c r="G13" s="3">
        <v>822</v>
      </c>
      <c r="H13" s="7">
        <f t="shared" si="1"/>
        <v>1.3249513381995133</v>
      </c>
      <c r="I13" s="3">
        <v>1196</v>
      </c>
    </row>
    <row r="14" spans="1:9" x14ac:dyDescent="0.25">
      <c r="B14" s="2" t="s">
        <v>8</v>
      </c>
      <c r="D14" s="6">
        <f>942033.22</f>
        <v>942033.22</v>
      </c>
      <c r="E14" s="6">
        <v>1927000</v>
      </c>
      <c r="F14" s="8">
        <f t="shared" si="0"/>
        <v>0.48885999999999996</v>
      </c>
      <c r="G14" s="6">
        <v>889870</v>
      </c>
      <c r="H14" s="8">
        <f t="shared" si="1"/>
        <v>5.8618921864991486E-2</v>
      </c>
      <c r="I14" s="6">
        <v>1863069</v>
      </c>
    </row>
    <row r="16" spans="1:9" x14ac:dyDescent="0.25">
      <c r="B16" s="2" t="s">
        <v>9</v>
      </c>
      <c r="D16" s="3">
        <f>SUM(D10:D15)</f>
        <v>1209392.48</v>
      </c>
      <c r="E16" s="3">
        <f>SUM(E10:E15)</f>
        <v>2278597</v>
      </c>
      <c r="F16" s="9">
        <f t="shared" si="0"/>
        <v>0.53076190304823534</v>
      </c>
      <c r="G16" s="3">
        <f>SUM(G10:G15)</f>
        <v>1170277</v>
      </c>
      <c r="H16" s="7">
        <f>(D16-G16)/G16</f>
        <v>3.3424120955978784E-2</v>
      </c>
      <c r="I16" s="3">
        <f>SUM(I10:I15)</f>
        <v>2205224</v>
      </c>
    </row>
    <row r="18" spans="1:9" x14ac:dyDescent="0.25">
      <c r="A18" s="2" t="s">
        <v>10</v>
      </c>
    </row>
    <row r="20" spans="1:9" x14ac:dyDescent="0.25">
      <c r="B20" s="2" t="s">
        <v>11</v>
      </c>
      <c r="D20" s="3">
        <f>68588.97-4536.07</f>
        <v>64052.9</v>
      </c>
      <c r="E20" s="3">
        <v>134779</v>
      </c>
      <c r="F20" s="7">
        <f t="shared" ref="F20:F26" si="2">D20/E20</f>
        <v>0.47524391782102554</v>
      </c>
      <c r="G20" s="3">
        <v>62354</v>
      </c>
      <c r="H20" s="7">
        <f>(D20-G20)/G20</f>
        <v>2.7246046765243632E-2</v>
      </c>
      <c r="I20" s="3">
        <v>128346</v>
      </c>
    </row>
    <row r="21" spans="1:9" x14ac:dyDescent="0.25">
      <c r="B21" s="2" t="s">
        <v>12</v>
      </c>
      <c r="D21" s="3">
        <f>10684.17-815.44</f>
        <v>9868.73</v>
      </c>
      <c r="E21" s="3">
        <v>15150</v>
      </c>
      <c r="F21" s="7">
        <f t="shared" si="2"/>
        <v>0.65140132013201313</v>
      </c>
      <c r="G21" s="3">
        <v>5612</v>
      </c>
      <c r="H21" s="7">
        <f t="shared" ref="H21:H24" si="3">(D21-G21)/G21</f>
        <v>0.75850498930862431</v>
      </c>
      <c r="I21" s="3">
        <v>62752</v>
      </c>
    </row>
    <row r="22" spans="1:9" x14ac:dyDescent="0.25">
      <c r="B22" s="2" t="s">
        <v>13</v>
      </c>
      <c r="D22" s="3">
        <f>1100470.7-278059.57</f>
        <v>822411.12999999989</v>
      </c>
      <c r="E22" s="3">
        <v>2155020</v>
      </c>
      <c r="F22" s="7">
        <f t="shared" si="2"/>
        <v>0.38162575289324457</v>
      </c>
      <c r="G22" s="3">
        <v>892041</v>
      </c>
      <c r="H22" s="7">
        <f t="shared" si="3"/>
        <v>-7.8056804563915907E-2</v>
      </c>
      <c r="I22" s="3">
        <v>1891842</v>
      </c>
    </row>
    <row r="23" spans="1:9" x14ac:dyDescent="0.25">
      <c r="B23" s="2" t="s">
        <v>14</v>
      </c>
      <c r="D23" s="3">
        <f>30875.25-1870.55</f>
        <v>29004.7</v>
      </c>
      <c r="E23" s="3">
        <v>77850</v>
      </c>
      <c r="F23" s="7">
        <f t="shared" si="2"/>
        <v>0.37257161207450223</v>
      </c>
      <c r="G23" s="3">
        <v>32944</v>
      </c>
      <c r="H23" s="7">
        <f t="shared" si="3"/>
        <v>-0.11957564351627001</v>
      </c>
      <c r="I23" s="3">
        <v>49577</v>
      </c>
    </row>
    <row r="24" spans="1:9" x14ac:dyDescent="0.25">
      <c r="B24" s="2" t="s">
        <v>15</v>
      </c>
      <c r="D24" s="3">
        <f>35994.74</f>
        <v>35994.74</v>
      </c>
      <c r="E24" s="3">
        <v>66643</v>
      </c>
      <c r="F24" s="7">
        <f t="shared" si="2"/>
        <v>0.54011284005822069</v>
      </c>
      <c r="G24" s="3">
        <v>39484</v>
      </c>
      <c r="H24" s="7">
        <f t="shared" si="3"/>
        <v>-8.8371492250025385E-2</v>
      </c>
      <c r="I24" s="3">
        <v>83700</v>
      </c>
    </row>
    <row r="25" spans="1:9" x14ac:dyDescent="0.25">
      <c r="B25" s="2" t="s">
        <v>16</v>
      </c>
      <c r="E25" s="3">
        <v>500</v>
      </c>
      <c r="F25" s="7">
        <f t="shared" si="2"/>
        <v>0</v>
      </c>
      <c r="G25" s="3">
        <v>44483</v>
      </c>
      <c r="H25" s="7"/>
      <c r="I25" s="3">
        <v>46508</v>
      </c>
    </row>
    <row r="26" spans="1:9" x14ac:dyDescent="0.25">
      <c r="B26" s="2" t="s">
        <v>38</v>
      </c>
      <c r="D26" s="6"/>
      <c r="E26" s="6">
        <v>20000</v>
      </c>
      <c r="F26" s="8">
        <f t="shared" si="2"/>
        <v>0</v>
      </c>
      <c r="G26" s="6"/>
      <c r="H26" s="8"/>
      <c r="I26" s="6"/>
    </row>
    <row r="28" spans="1:9" x14ac:dyDescent="0.25">
      <c r="B28" s="2" t="s">
        <v>9</v>
      </c>
      <c r="D28" s="3">
        <f>SUM(D20:D27)</f>
        <v>961332.19999999984</v>
      </c>
      <c r="E28" s="3">
        <f>SUM(E20:E27)</f>
        <v>2469942</v>
      </c>
      <c r="F28" s="9">
        <f t="shared" ref="F28" si="4">D28/E28</f>
        <v>0.38921245923993353</v>
      </c>
      <c r="G28" s="3">
        <f>SUM(G20:G27)</f>
        <v>1076918</v>
      </c>
      <c r="H28" s="7">
        <f>(D28-G28)/G28</f>
        <v>-0.10733017741369368</v>
      </c>
      <c r="I28" s="3">
        <f>SUM(I20:I27)</f>
        <v>2262725</v>
      </c>
    </row>
    <row r="30" spans="1:9" x14ac:dyDescent="0.25">
      <c r="A30" s="2" t="s">
        <v>18</v>
      </c>
    </row>
    <row r="31" spans="1:9" x14ac:dyDescent="0.25">
      <c r="B31" s="2" t="s">
        <v>41</v>
      </c>
      <c r="E31" s="3">
        <v>227800</v>
      </c>
      <c r="I31" s="3">
        <v>173000</v>
      </c>
    </row>
    <row r="32" spans="1:9" x14ac:dyDescent="0.25">
      <c r="B32" s="2" t="s">
        <v>19</v>
      </c>
      <c r="E32" s="3">
        <v>-152900</v>
      </c>
      <c r="I32" s="3">
        <v>-173000</v>
      </c>
    </row>
    <row r="34" spans="1:9" x14ac:dyDescent="0.25">
      <c r="A34" s="2" t="s">
        <v>20</v>
      </c>
      <c r="D34" s="3">
        <f>D16-D28</f>
        <v>248060.28000000014</v>
      </c>
      <c r="E34" s="3">
        <f>E16-E28-E31-E32</f>
        <v>-266245</v>
      </c>
      <c r="G34" s="3">
        <f>G16-G28</f>
        <v>93359</v>
      </c>
      <c r="I34" s="3">
        <f>I16-I28</f>
        <v>-57501</v>
      </c>
    </row>
    <row r="35" spans="1:9" x14ac:dyDescent="0.25">
      <c r="A35" s="2" t="s">
        <v>21</v>
      </c>
      <c r="D35" s="3">
        <f>1659257+D34</f>
        <v>1907317.2800000003</v>
      </c>
      <c r="I35" s="3">
        <v>1659257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D25" sqref="D25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42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3</v>
      </c>
      <c r="D10" s="3">
        <f>3056.29</f>
        <v>3056.29</v>
      </c>
      <c r="E10" s="3">
        <v>490350</v>
      </c>
      <c r="F10" s="7">
        <f t="shared" ref="F10:F14" si="0">D10/E10</f>
        <v>6.232874477414092E-3</v>
      </c>
      <c r="G10" s="3">
        <v>257758</v>
      </c>
      <c r="H10" s="7">
        <f t="shared" ref="H10:H12" si="1">(D10-G10)/G10</f>
        <v>-0.98814279285221018</v>
      </c>
      <c r="I10" s="3">
        <v>645328</v>
      </c>
    </row>
    <row r="11" spans="1:9" x14ac:dyDescent="0.25">
      <c r="B11" s="2" t="s">
        <v>4</v>
      </c>
      <c r="D11" s="3">
        <f>2365115.89</f>
        <v>2365115.89</v>
      </c>
      <c r="E11" s="3">
        <v>5177777</v>
      </c>
      <c r="F11" s="7">
        <f t="shared" si="0"/>
        <v>0.4567821074565398</v>
      </c>
      <c r="G11" s="3">
        <v>2538199</v>
      </c>
      <c r="H11" s="7">
        <f t="shared" si="1"/>
        <v>-6.8191308088924416E-2</v>
      </c>
      <c r="I11" s="3">
        <v>5150149</v>
      </c>
    </row>
    <row r="12" spans="1:9" x14ac:dyDescent="0.25">
      <c r="B12" s="2" t="s">
        <v>8</v>
      </c>
      <c r="D12" s="6">
        <f>65832.55</f>
        <v>65832.55</v>
      </c>
      <c r="E12" s="6">
        <v>130711</v>
      </c>
      <c r="F12" s="8">
        <f t="shared" si="0"/>
        <v>0.50364965458148125</v>
      </c>
      <c r="G12" s="6">
        <v>55675</v>
      </c>
      <c r="H12" s="8">
        <f t="shared" si="1"/>
        <v>0.18244364616075442</v>
      </c>
      <c r="I12" s="6">
        <v>100338</v>
      </c>
    </row>
    <row r="14" spans="1:9" x14ac:dyDescent="0.25">
      <c r="B14" s="2" t="s">
        <v>9</v>
      </c>
      <c r="D14" s="3">
        <f>SUM(D10:D13)</f>
        <v>2434004.73</v>
      </c>
      <c r="E14" s="3">
        <f>SUM(E10:E13)</f>
        <v>5798838</v>
      </c>
      <c r="F14" s="9">
        <f t="shared" si="0"/>
        <v>0.41974008068513036</v>
      </c>
      <c r="G14" s="3">
        <f>SUM(G10:G13)</f>
        <v>2851632</v>
      </c>
      <c r="H14" s="7">
        <f>(D14-G14)/G14</f>
        <v>-0.14645202115841036</v>
      </c>
      <c r="I14" s="3">
        <f>SUM(I10:I13)</f>
        <v>5895815</v>
      </c>
    </row>
    <row r="16" spans="1:9" x14ac:dyDescent="0.25">
      <c r="A16" s="2" t="s">
        <v>10</v>
      </c>
    </row>
    <row r="18" spans="1:9" x14ac:dyDescent="0.25">
      <c r="B18" s="2" t="s">
        <v>11</v>
      </c>
      <c r="D18" s="3">
        <f>395884.53-10835.37-18342.1</f>
        <v>366707.06000000006</v>
      </c>
      <c r="E18" s="3">
        <v>890786</v>
      </c>
      <c r="F18" s="7">
        <f t="shared" ref="F18:F24" si="2">D18/E18</f>
        <v>0.41166684254130625</v>
      </c>
      <c r="G18" s="3">
        <v>367040</v>
      </c>
      <c r="H18" s="7">
        <f>(D18-G18)/G18</f>
        <v>-9.0709459459444237E-4</v>
      </c>
      <c r="I18" s="3">
        <v>796621</v>
      </c>
    </row>
    <row r="19" spans="1:9" x14ac:dyDescent="0.25">
      <c r="B19" s="2" t="s">
        <v>12</v>
      </c>
      <c r="D19" s="3">
        <f>49838.33-2740.48</f>
        <v>47097.85</v>
      </c>
      <c r="E19" s="3">
        <v>98573</v>
      </c>
      <c r="F19" s="7">
        <f t="shared" si="2"/>
        <v>0.47779665831414281</v>
      </c>
      <c r="G19" s="3">
        <v>38700</v>
      </c>
      <c r="H19" s="7">
        <f t="shared" ref="H19:H24" si="3">(D19-G19)/G19</f>
        <v>0.21699870801033588</v>
      </c>
      <c r="I19" s="3">
        <v>89890</v>
      </c>
    </row>
    <row r="20" spans="1:9" x14ac:dyDescent="0.25">
      <c r="B20" s="2" t="s">
        <v>13</v>
      </c>
      <c r="D20" s="3">
        <f>15626.7</f>
        <v>15626.7</v>
      </c>
      <c r="E20" s="3">
        <v>18904</v>
      </c>
      <c r="F20" s="7">
        <f t="shared" si="2"/>
        <v>0.82663457469318669</v>
      </c>
      <c r="G20" s="3">
        <v>19059</v>
      </c>
      <c r="H20" s="7">
        <f t="shared" si="3"/>
        <v>-0.18008814733196912</v>
      </c>
      <c r="I20" s="3">
        <v>45362</v>
      </c>
    </row>
    <row r="21" spans="1:9" x14ac:dyDescent="0.25">
      <c r="B21" s="2" t="s">
        <v>14</v>
      </c>
      <c r="D21" s="3">
        <f>25278.92</f>
        <v>25278.92</v>
      </c>
      <c r="E21" s="3">
        <v>69005</v>
      </c>
      <c r="F21" s="7">
        <f t="shared" si="2"/>
        <v>0.36633461343380913</v>
      </c>
      <c r="G21" s="3">
        <v>22131</v>
      </c>
      <c r="H21" s="7">
        <f t="shared" si="3"/>
        <v>0.14224029641679084</v>
      </c>
      <c r="I21" s="3">
        <v>90023</v>
      </c>
    </row>
    <row r="22" spans="1:9" x14ac:dyDescent="0.25">
      <c r="B22" s="2" t="s">
        <v>15</v>
      </c>
      <c r="D22" s="3">
        <f>18547.12</f>
        <v>18547.12</v>
      </c>
      <c r="E22" s="3">
        <v>58390</v>
      </c>
      <c r="F22" s="7">
        <f t="shared" si="2"/>
        <v>0.31764206199691725</v>
      </c>
      <c r="G22" s="3">
        <v>15304</v>
      </c>
      <c r="H22" s="7">
        <f t="shared" si="3"/>
        <v>0.21191322530057494</v>
      </c>
      <c r="I22" s="3">
        <v>40806</v>
      </c>
    </row>
    <row r="23" spans="1:9" x14ac:dyDescent="0.25">
      <c r="B23" s="2" t="s">
        <v>43</v>
      </c>
      <c r="F23" s="7"/>
      <c r="H23" s="7"/>
      <c r="I23" s="3">
        <v>56820</v>
      </c>
    </row>
    <row r="24" spans="1:9" x14ac:dyDescent="0.25">
      <c r="B24" s="2" t="s">
        <v>17</v>
      </c>
      <c r="D24" s="6">
        <f>2320867.22-16457.73</f>
        <v>2304409.4900000002</v>
      </c>
      <c r="E24" s="6">
        <v>4663180</v>
      </c>
      <c r="F24" s="8">
        <f t="shared" si="2"/>
        <v>0.49417125009113955</v>
      </c>
      <c r="G24" s="6">
        <v>2625210</v>
      </c>
      <c r="H24" s="8">
        <f t="shared" si="3"/>
        <v>-0.12219994209987002</v>
      </c>
      <c r="I24" s="6">
        <v>4773028</v>
      </c>
    </row>
    <row r="26" spans="1:9" x14ac:dyDescent="0.25">
      <c r="B26" s="2" t="s">
        <v>9</v>
      </c>
      <c r="D26" s="3">
        <f>SUM(D18:D25)</f>
        <v>2777667.14</v>
      </c>
      <c r="E26" s="3">
        <f>SUM(E18:E25)</f>
        <v>5798838</v>
      </c>
      <c r="F26" s="9">
        <f t="shared" ref="F26" si="4">D26/E26</f>
        <v>0.47900409357874801</v>
      </c>
      <c r="G26" s="3">
        <f>SUM(G18:G25)</f>
        <v>3087444</v>
      </c>
      <c r="H26" s="7">
        <f>(D26-G26)/G26</f>
        <v>-0.10033440606534073</v>
      </c>
      <c r="I26" s="3">
        <f>SUM(I18:I25)</f>
        <v>5892550</v>
      </c>
    </row>
    <row r="28" spans="1:9" x14ac:dyDescent="0.25">
      <c r="A28" s="2" t="s">
        <v>18</v>
      </c>
    </row>
    <row r="29" spans="1:9" x14ac:dyDescent="0.25">
      <c r="B29" s="2" t="s">
        <v>41</v>
      </c>
      <c r="D29" s="3">
        <v>14000</v>
      </c>
      <c r="G29" s="3">
        <v>17313</v>
      </c>
      <c r="I29" s="3">
        <v>17313</v>
      </c>
    </row>
    <row r="30" spans="1:9" x14ac:dyDescent="0.25">
      <c r="B30" s="2" t="s">
        <v>19</v>
      </c>
      <c r="D30" s="3">
        <v>-14000</v>
      </c>
      <c r="G30" s="3">
        <v>-17313</v>
      </c>
      <c r="I30" s="3">
        <v>-17313</v>
      </c>
    </row>
    <row r="32" spans="1:9" x14ac:dyDescent="0.25">
      <c r="A32" s="2" t="s">
        <v>20</v>
      </c>
      <c r="D32" s="3">
        <f>D14-D26</f>
        <v>-343662.41000000015</v>
      </c>
      <c r="E32" s="3">
        <f>E14-E26</f>
        <v>0</v>
      </c>
      <c r="G32" s="3">
        <f>G14-G26</f>
        <v>-235812</v>
      </c>
      <c r="I32" s="3">
        <f>I14-I26-I30-I29</f>
        <v>3265</v>
      </c>
    </row>
    <row r="33" spans="1:9" x14ac:dyDescent="0.25">
      <c r="A33" s="2" t="s">
        <v>21</v>
      </c>
      <c r="D33" s="3">
        <f>27423+D32</f>
        <v>-316239.41000000015</v>
      </c>
      <c r="I33" s="3">
        <v>27423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B4" sqref="B4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44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7</v>
      </c>
      <c r="D10" s="6"/>
      <c r="E10" s="6">
        <v>5000</v>
      </c>
      <c r="F10" s="8">
        <f t="shared" ref="F10:F12" si="0">D10/E10</f>
        <v>0</v>
      </c>
      <c r="G10" s="6">
        <v>559</v>
      </c>
      <c r="H10" s="8">
        <f t="shared" ref="H10" si="1">(D10-G10)/G10</f>
        <v>-1</v>
      </c>
      <c r="I10" s="6">
        <v>8635</v>
      </c>
    </row>
    <row r="12" spans="1:9" x14ac:dyDescent="0.25">
      <c r="B12" s="2" t="s">
        <v>9</v>
      </c>
      <c r="E12" s="3">
        <f>SUM(E10:E11)</f>
        <v>5000</v>
      </c>
      <c r="F12" s="9">
        <f t="shared" si="0"/>
        <v>0</v>
      </c>
      <c r="G12" s="3">
        <f>SUM(G10:G11)</f>
        <v>559</v>
      </c>
      <c r="H12" s="7"/>
      <c r="I12" s="3">
        <f>SUM(I10:I11)</f>
        <v>8635</v>
      </c>
    </row>
    <row r="14" spans="1:9" x14ac:dyDescent="0.25">
      <c r="A14" s="2" t="s">
        <v>10</v>
      </c>
    </row>
    <row r="16" spans="1:9" x14ac:dyDescent="0.25">
      <c r="B16" s="2" t="s">
        <v>7</v>
      </c>
      <c r="D16" s="6"/>
      <c r="E16" s="6"/>
      <c r="F16" s="8"/>
      <c r="G16" s="6"/>
      <c r="H16" s="8"/>
      <c r="I16" s="6"/>
    </row>
    <row r="18" spans="1:9" x14ac:dyDescent="0.25">
      <c r="B18" s="2" t="s">
        <v>9</v>
      </c>
      <c r="F18" s="9"/>
      <c r="H18" s="7"/>
    </row>
    <row r="20" spans="1:9" x14ac:dyDescent="0.25">
      <c r="A20" s="2" t="s">
        <v>18</v>
      </c>
    </row>
    <row r="21" spans="1:9" x14ac:dyDescent="0.25">
      <c r="B21" s="2" t="s">
        <v>41</v>
      </c>
      <c r="E21" s="3">
        <v>120000</v>
      </c>
      <c r="I21" s="3">
        <v>177500</v>
      </c>
    </row>
    <row r="23" spans="1:9" x14ac:dyDescent="0.25">
      <c r="A23" s="2" t="s">
        <v>20</v>
      </c>
      <c r="D23" s="3">
        <f>D12-D18</f>
        <v>0</v>
      </c>
      <c r="E23" s="3">
        <f>E12-E21</f>
        <v>-115000</v>
      </c>
      <c r="G23" s="3">
        <f>G12-G18</f>
        <v>559</v>
      </c>
      <c r="I23" s="3">
        <f>I12-I18-I21</f>
        <v>-168865</v>
      </c>
    </row>
    <row r="24" spans="1:9" x14ac:dyDescent="0.25">
      <c r="A24" s="2" t="s">
        <v>21</v>
      </c>
      <c r="D24" s="3">
        <f>2329630+D23</f>
        <v>2329630</v>
      </c>
      <c r="I24" s="3">
        <v>2329630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D20" sqref="D20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45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8</v>
      </c>
      <c r="D10" s="6">
        <v>25765.25</v>
      </c>
      <c r="E10" s="6"/>
      <c r="F10" s="8"/>
      <c r="G10" s="6">
        <v>28189</v>
      </c>
      <c r="H10" s="8">
        <f t="shared" ref="H10" si="0">(D10-G10)/G10</f>
        <v>-8.5982120685373725E-2</v>
      </c>
      <c r="I10" s="6">
        <v>54723</v>
      </c>
    </row>
    <row r="12" spans="1:9" x14ac:dyDescent="0.25">
      <c r="B12" s="2" t="s">
        <v>9</v>
      </c>
      <c r="D12" s="3">
        <f>SUM(D10:D11)</f>
        <v>25765.25</v>
      </c>
      <c r="F12" s="9"/>
      <c r="G12" s="3">
        <f>SUM(G10:G11)</f>
        <v>28189</v>
      </c>
      <c r="H12" s="7">
        <f>(D12-G12)/G12</f>
        <v>-8.5982120685373725E-2</v>
      </c>
      <c r="I12" s="3">
        <f>SUM(I10:I11)</f>
        <v>54723</v>
      </c>
    </row>
    <row r="14" spans="1:9" x14ac:dyDescent="0.25">
      <c r="A14" s="2" t="s">
        <v>10</v>
      </c>
    </row>
    <row r="16" spans="1:9" x14ac:dyDescent="0.25">
      <c r="B16" s="2" t="s">
        <v>14</v>
      </c>
      <c r="F16" s="7"/>
      <c r="G16" s="3">
        <v>59</v>
      </c>
      <c r="H16" s="7"/>
      <c r="I16" s="3">
        <v>59</v>
      </c>
    </row>
    <row r="17" spans="1:9" x14ac:dyDescent="0.25">
      <c r="B17" s="2" t="s">
        <v>15</v>
      </c>
      <c r="F17" s="7"/>
      <c r="G17" s="3">
        <v>418</v>
      </c>
      <c r="H17" s="7"/>
      <c r="I17" s="3">
        <v>418</v>
      </c>
    </row>
    <row r="18" spans="1:9" x14ac:dyDescent="0.25">
      <c r="B18" s="2" t="s">
        <v>38</v>
      </c>
      <c r="F18" s="7"/>
      <c r="H18" s="7"/>
      <c r="I18" s="3">
        <v>1500</v>
      </c>
    </row>
    <row r="19" spans="1:9" x14ac:dyDescent="0.25">
      <c r="B19" s="2" t="s">
        <v>17</v>
      </c>
      <c r="D19" s="6">
        <v>9143.36</v>
      </c>
      <c r="E19" s="6"/>
      <c r="F19" s="6"/>
      <c r="G19" s="6">
        <v>7258</v>
      </c>
      <c r="H19" s="8">
        <f t="shared" ref="H19" si="1">(D19-G19)/G19</f>
        <v>0.25976302011573443</v>
      </c>
      <c r="I19" s="6">
        <v>47133</v>
      </c>
    </row>
    <row r="21" spans="1:9" x14ac:dyDescent="0.25">
      <c r="B21" s="2" t="s">
        <v>9</v>
      </c>
      <c r="D21" s="3">
        <f>SUM(D16:D20)</f>
        <v>9143.36</v>
      </c>
      <c r="F21" s="9"/>
      <c r="G21" s="3">
        <f>SUM(G16:G20)</f>
        <v>7735</v>
      </c>
      <c r="H21" s="7">
        <f>(D21-G21)/G21</f>
        <v>0.18207627666451204</v>
      </c>
      <c r="I21" s="3">
        <f>SUM(I16:I20)</f>
        <v>49110</v>
      </c>
    </row>
    <row r="23" spans="1:9" x14ac:dyDescent="0.25">
      <c r="A23" s="2" t="s">
        <v>18</v>
      </c>
    </row>
    <row r="24" spans="1:9" x14ac:dyDescent="0.25">
      <c r="B24" s="2" t="s">
        <v>19</v>
      </c>
    </row>
    <row r="26" spans="1:9" x14ac:dyDescent="0.25">
      <c r="A26" s="2" t="s">
        <v>20</v>
      </c>
      <c r="D26" s="3">
        <f>D12-D21</f>
        <v>16621.89</v>
      </c>
      <c r="G26" s="3">
        <f>G12-G21</f>
        <v>20454</v>
      </c>
      <c r="I26" s="3">
        <f>I12-I21-I24</f>
        <v>5613</v>
      </c>
    </row>
    <row r="27" spans="1:9" x14ac:dyDescent="0.25">
      <c r="A27" s="2" t="s">
        <v>21</v>
      </c>
      <c r="D27" s="3">
        <f>48151+D26</f>
        <v>64772.89</v>
      </c>
      <c r="I27" s="3">
        <v>48151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D19" sqref="D19"/>
    </sheetView>
  </sheetViews>
  <sheetFormatPr defaultRowHeight="15.75" x14ac:dyDescent="0.25"/>
  <cols>
    <col min="1" max="1" width="28.7109375" style="2" bestFit="1" customWidth="1"/>
    <col min="2" max="2" width="28.28515625" style="2" bestFit="1" customWidth="1"/>
    <col min="3" max="3" width="9.140625" style="2"/>
    <col min="4" max="4" width="14.42578125" style="3" bestFit="1" customWidth="1"/>
    <col min="5" max="5" width="15.42578125" style="3" bestFit="1" customWidth="1"/>
    <col min="6" max="6" width="11.140625" style="3" bestFit="1" customWidth="1"/>
    <col min="7" max="8" width="14.7109375" style="3" bestFit="1" customWidth="1"/>
    <col min="9" max="9" width="14.85546875" style="3" bestFit="1" customWidth="1"/>
    <col min="10" max="16384" width="9.140625" style="2"/>
  </cols>
  <sheetData>
    <row r="1" spans="1:9" x14ac:dyDescent="0.25">
      <c r="A1" s="1">
        <v>42388</v>
      </c>
      <c r="B1" s="11" t="s">
        <v>32</v>
      </c>
      <c r="C1" s="11"/>
      <c r="D1" s="11"/>
      <c r="E1" s="11"/>
      <c r="F1" s="11"/>
      <c r="G1" s="11"/>
      <c r="H1" s="11"/>
      <c r="I1" s="11"/>
    </row>
    <row r="2" spans="1:9" x14ac:dyDescent="0.25">
      <c r="B2" s="11" t="s">
        <v>33</v>
      </c>
      <c r="C2" s="11"/>
      <c r="D2" s="11"/>
      <c r="E2" s="11"/>
      <c r="F2" s="11"/>
      <c r="G2" s="11"/>
      <c r="H2" s="11"/>
      <c r="I2" s="11"/>
    </row>
    <row r="3" spans="1:9" x14ac:dyDescent="0.25">
      <c r="B3" s="11" t="s">
        <v>48</v>
      </c>
      <c r="C3" s="11"/>
      <c r="D3" s="11"/>
      <c r="E3" s="11"/>
      <c r="F3" s="11"/>
      <c r="G3" s="11"/>
      <c r="H3" s="11"/>
      <c r="I3" s="11"/>
    </row>
    <row r="5" spans="1:9" x14ac:dyDescent="0.25">
      <c r="D5" s="4" t="s">
        <v>22</v>
      </c>
      <c r="E5" s="4" t="s">
        <v>22</v>
      </c>
      <c r="F5" s="4" t="s">
        <v>25</v>
      </c>
      <c r="G5" s="4" t="s">
        <v>27</v>
      </c>
      <c r="H5" s="4" t="s">
        <v>28</v>
      </c>
      <c r="I5" s="4" t="s">
        <v>30</v>
      </c>
    </row>
    <row r="6" spans="1:9" x14ac:dyDescent="0.25">
      <c r="A6" s="10" t="s">
        <v>46</v>
      </c>
      <c r="D6" s="5" t="s">
        <v>23</v>
      </c>
      <c r="E6" s="5" t="s">
        <v>24</v>
      </c>
      <c r="F6" s="5" t="s">
        <v>26</v>
      </c>
      <c r="G6" s="5" t="s">
        <v>23</v>
      </c>
      <c r="H6" s="5" t="s">
        <v>29</v>
      </c>
      <c r="I6" s="5" t="s">
        <v>31</v>
      </c>
    </row>
    <row r="8" spans="1:9" x14ac:dyDescent="0.25">
      <c r="A8" s="2" t="s">
        <v>1</v>
      </c>
    </row>
    <row r="10" spans="1:9" x14ac:dyDescent="0.25">
      <c r="B10" s="2" t="s">
        <v>2</v>
      </c>
      <c r="D10" s="3">
        <v>30878.37</v>
      </c>
      <c r="E10" s="3">
        <v>62300</v>
      </c>
      <c r="F10" s="7">
        <f>D10/E10</f>
        <v>0.49563996789727127</v>
      </c>
      <c r="G10" s="3">
        <v>35387</v>
      </c>
      <c r="H10" s="7">
        <f>(D10-G10)/G10</f>
        <v>-0.12740921807443414</v>
      </c>
      <c r="I10" s="3">
        <v>66232</v>
      </c>
    </row>
    <row r="11" spans="1:9" x14ac:dyDescent="0.25">
      <c r="B11" s="2" t="s">
        <v>7</v>
      </c>
      <c r="D11" s="6">
        <v>9.2899999999999991</v>
      </c>
      <c r="E11" s="6">
        <v>25</v>
      </c>
      <c r="F11" s="8">
        <f t="shared" ref="F11:F13" si="0">D11/E11</f>
        <v>0.37159999999999999</v>
      </c>
      <c r="G11" s="6">
        <v>11</v>
      </c>
      <c r="H11" s="8">
        <f t="shared" ref="H11" si="1">(D11-G11)/G11</f>
        <v>-0.15545454545454554</v>
      </c>
      <c r="I11" s="6">
        <v>17</v>
      </c>
    </row>
    <row r="13" spans="1:9" x14ac:dyDescent="0.25">
      <c r="B13" s="2" t="s">
        <v>9</v>
      </c>
      <c r="D13" s="3">
        <f>SUM(D10:D12)</f>
        <v>30887.66</v>
      </c>
      <c r="E13" s="3">
        <f>SUM(E10:E12)</f>
        <v>62325</v>
      </c>
      <c r="F13" s="9">
        <f t="shared" si="0"/>
        <v>0.49559021259526675</v>
      </c>
      <c r="G13" s="3">
        <f>SUM(G10:G12)</f>
        <v>35398</v>
      </c>
      <c r="H13" s="7">
        <f>(D13-G13)/G13</f>
        <v>-0.12741793321656592</v>
      </c>
      <c r="I13" s="3">
        <f>SUM(I10:I12)</f>
        <v>66249</v>
      </c>
    </row>
    <row r="15" spans="1:9" x14ac:dyDescent="0.25">
      <c r="A15" s="2" t="s">
        <v>10</v>
      </c>
    </row>
    <row r="17" spans="1:9" x14ac:dyDescent="0.25">
      <c r="B17" s="2" t="s">
        <v>11</v>
      </c>
      <c r="D17" s="3">
        <f>5077.08-390.54</f>
        <v>4686.54</v>
      </c>
      <c r="E17" s="3">
        <v>9373</v>
      </c>
      <c r="F17" s="7">
        <f t="shared" ref="F17:F19" si="2">D17/E17</f>
        <v>0.50000426757708316</v>
      </c>
      <c r="G17" s="3">
        <v>4210</v>
      </c>
      <c r="H17" s="7">
        <f>(D17-G17)/G17</f>
        <v>0.11319239904988122</v>
      </c>
      <c r="I17" s="3">
        <v>8420</v>
      </c>
    </row>
    <row r="18" spans="1:9" x14ac:dyDescent="0.25">
      <c r="B18" s="2" t="s">
        <v>12</v>
      </c>
      <c r="D18" s="3">
        <f>853.64-65.53</f>
        <v>788.11</v>
      </c>
      <c r="E18" s="3">
        <v>1594</v>
      </c>
      <c r="F18" s="7">
        <f t="shared" si="2"/>
        <v>0.4944228356336261</v>
      </c>
      <c r="G18" s="3">
        <v>910</v>
      </c>
      <c r="H18" s="7">
        <f t="shared" ref="H18:H19" si="3">(D18-G18)/G18</f>
        <v>-0.13394505494505493</v>
      </c>
      <c r="I18" s="3">
        <v>1820</v>
      </c>
    </row>
    <row r="19" spans="1:9" x14ac:dyDescent="0.25">
      <c r="B19" s="2" t="s">
        <v>13</v>
      </c>
      <c r="D19" s="6">
        <v>38625</v>
      </c>
      <c r="E19" s="6">
        <v>50000</v>
      </c>
      <c r="F19" s="8">
        <f t="shared" si="2"/>
        <v>0.77249999999999996</v>
      </c>
      <c r="G19" s="6">
        <v>36575</v>
      </c>
      <c r="H19" s="8">
        <f t="shared" si="3"/>
        <v>5.6049213943950786E-2</v>
      </c>
      <c r="I19" s="6">
        <v>44752</v>
      </c>
    </row>
    <row r="21" spans="1:9" x14ac:dyDescent="0.25">
      <c r="B21" s="2" t="s">
        <v>9</v>
      </c>
      <c r="D21" s="3">
        <f>SUM(D17:D20)</f>
        <v>44099.65</v>
      </c>
      <c r="E21" s="3">
        <f>SUM(E17:E20)</f>
        <v>60967</v>
      </c>
      <c r="F21" s="9">
        <f t="shared" ref="F21" si="4">D21/E21</f>
        <v>0.72333639509898795</v>
      </c>
      <c r="G21" s="3">
        <f>SUM(G17:G20)</f>
        <v>41695</v>
      </c>
      <c r="H21" s="7">
        <f>(D21-G21)/G21</f>
        <v>5.7672382779709833E-2</v>
      </c>
      <c r="I21" s="3">
        <f>SUM(I17:I20)</f>
        <v>54992</v>
      </c>
    </row>
    <row r="24" spans="1:9" x14ac:dyDescent="0.25">
      <c r="A24" s="2" t="s">
        <v>20</v>
      </c>
      <c r="D24" s="3">
        <f>D13-D21</f>
        <v>-13211.990000000002</v>
      </c>
      <c r="E24" s="3">
        <f>E13-E21</f>
        <v>1358</v>
      </c>
      <c r="G24" s="3">
        <f>G13-G21</f>
        <v>-6297</v>
      </c>
      <c r="I24" s="3">
        <f>I13-I21</f>
        <v>11257</v>
      </c>
    </row>
    <row r="25" spans="1:9" x14ac:dyDescent="0.25">
      <c r="A25" s="2" t="s">
        <v>21</v>
      </c>
      <c r="D25" s="3">
        <f>-16267+D24</f>
        <v>-29478.99</v>
      </c>
      <c r="I25" s="3">
        <v>-16267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Ed Fund</vt:lpstr>
      <vt:lpstr>O&amp;M Fund</vt:lpstr>
      <vt:lpstr>O&amp;M Rest</vt:lpstr>
      <vt:lpstr>B &amp; I</vt:lpstr>
      <vt:lpstr>Aux</vt:lpstr>
      <vt:lpstr>Rest Purpose</vt:lpstr>
      <vt:lpstr>Working Cash</vt:lpstr>
      <vt:lpstr>Trust &amp; Agency</vt:lpstr>
      <vt:lpstr>Audit </vt:lpstr>
      <vt:lpstr>L, P &amp; S</vt:lpstr>
    </vt:vector>
  </TitlesOfParts>
  <Company>SVCC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melissa.m.dye</dc:creator>
  <cp:lastModifiedBy>dana.j.chacon</cp:lastModifiedBy>
  <cp:lastPrinted>2015-11-18T17:05:58Z</cp:lastPrinted>
  <dcterms:created xsi:type="dcterms:W3CDTF">2015-11-17T22:03:30Z</dcterms:created>
  <dcterms:modified xsi:type="dcterms:W3CDTF">2016-01-19T21:08:39Z</dcterms:modified>
</cp:coreProperties>
</file>